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3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Taeed\Documents\SER\Model\"/>
    </mc:Choice>
  </mc:AlternateContent>
  <xr:revisionPtr revIDLastSave="0" documentId="8_{2F3FFD49-A330-4B79-8EC5-835C86880656}" xr6:coauthVersionLast="37" xr6:coauthVersionMax="37" xr10:uidLastSave="{00000000-0000-0000-0000-000000000000}"/>
  <bookViews>
    <workbookView xWindow="0" yWindow="0" windowWidth="12525" windowHeight="4935" firstSheet="3" activeTab="3" xr2:uid="{00000000-000D-0000-FFFF-FFFF00000000}"/>
  </bookViews>
  <sheets>
    <sheet name="Master" sheetId="11" state="hidden" r:id="rId1"/>
    <sheet name="Worcester (WMFS 2014)" sheetId="23" state="hidden" r:id="rId2"/>
    <sheet name="WMFS 2015" sheetId="15" state="hidden" r:id="rId3"/>
    <sheet name="Master Formula" sheetId="31" r:id="rId4"/>
    <sheet name="Registered IP" sheetId="32" r:id="rId5"/>
    <sheet name="WMFS 2016" sheetId="16" state="hidden" r:id="rId6"/>
    <sheet name="2016 data source" sheetId="20" state="hidden" r:id="rId7"/>
    <sheet name="WMFS 2017" sheetId="17" state="hidden" r:id="rId8"/>
    <sheet name="2017 data source." sheetId="21" state="hidden" r:id="rId9"/>
    <sheet name="Enfield 2015" sheetId="18" state="hidden" r:id="rId10"/>
    <sheet name="NMUH i1 (Enfield 2015)" sheetId="27" state="hidden" r:id="rId11"/>
    <sheet name="NMUH i2 (Enfield 2015)" sheetId="28" state="hidden" r:id="rId12"/>
    <sheet name="NUMH Total (Enfield 2015)" sheetId="29" state="hidden" r:id="rId13"/>
    <sheet name="BANES 2015" sheetId="19" state="hidden" r:id="rId14"/>
    <sheet name="Brakes Total (BANES 2015)" sheetId="30" state="hidden" r:id="rId15"/>
    <sheet name="Supplier" sheetId="13" state="hidden" r:id="rId16"/>
    <sheet name="Bidder" sheetId="14" state="hidden" r:id="rId1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31" l="1"/>
  <c r="I5" i="31" l="1"/>
  <c r="I4" i="31"/>
  <c r="F9" i="31" l="1"/>
  <c r="F110" i="31" s="1"/>
  <c r="F69" i="31" l="1"/>
  <c r="H69" i="31"/>
  <c r="F127" i="31"/>
  <c r="E127" i="31"/>
  <c r="F119" i="31"/>
  <c r="F116" i="31"/>
  <c r="F115" i="31"/>
  <c r="F117" i="31" s="1"/>
  <c r="G109" i="31"/>
  <c r="F109" i="31"/>
  <c r="F113" i="31" s="1"/>
  <c r="F114" i="31" s="1"/>
  <c r="E109" i="31"/>
  <c r="E113" i="31" s="1"/>
  <c r="I91" i="31"/>
  <c r="G91" i="31"/>
  <c r="E91" i="31"/>
  <c r="I89" i="31"/>
  <c r="G89" i="31"/>
  <c r="E89" i="31"/>
  <c r="I80" i="31"/>
  <c r="I87" i="31" s="1"/>
  <c r="G80" i="31"/>
  <c r="G87" i="31" s="1"/>
  <c r="E80" i="31"/>
  <c r="E87" i="31" s="1"/>
  <c r="I75" i="31"/>
  <c r="G75" i="31"/>
  <c r="E75" i="31"/>
  <c r="E85" i="31" s="1"/>
  <c r="E69" i="31"/>
  <c r="I68" i="31"/>
  <c r="I86" i="31" s="1"/>
  <c r="G68" i="31"/>
  <c r="G86" i="31" s="1"/>
  <c r="E68" i="31"/>
  <c r="E86" i="31" s="1"/>
  <c r="I63" i="31"/>
  <c r="G63" i="31"/>
  <c r="E63" i="31"/>
  <c r="E45" i="31"/>
  <c r="I43" i="31"/>
  <c r="G43" i="31"/>
  <c r="E43" i="31"/>
  <c r="E42" i="31"/>
  <c r="E36" i="31"/>
  <c r="G23" i="31"/>
  <c r="I23" i="31" s="1"/>
  <c r="I36" i="31" s="1"/>
  <c r="G13" i="31"/>
  <c r="I13" i="31" s="1"/>
  <c r="F11" i="31"/>
  <c r="F4" i="31" s="1"/>
  <c r="F10" i="31"/>
  <c r="G8" i="31"/>
  <c r="I95" i="31" l="1"/>
  <c r="I7" i="31"/>
  <c r="I8" i="31"/>
  <c r="G36" i="31"/>
  <c r="E84" i="31"/>
  <c r="E95" i="31"/>
  <c r="G95" i="31"/>
  <c r="G85" i="31"/>
  <c r="I84" i="31"/>
  <c r="G84" i="31"/>
  <c r="E90" i="31"/>
  <c r="G42" i="31"/>
  <c r="I90" i="31"/>
  <c r="G45" i="31"/>
  <c r="F111" i="31"/>
  <c r="F118" i="31"/>
  <c r="F120" i="31" s="1"/>
  <c r="I3" i="31" s="1"/>
  <c r="E92" i="31"/>
  <c r="I45" i="31"/>
  <c r="I42" i="31"/>
  <c r="I85" i="31"/>
  <c r="G90" i="31"/>
  <c r="G92" i="31" l="1"/>
  <c r="G6" i="31"/>
  <c r="G9" i="31" s="1"/>
  <c r="I92" i="31"/>
  <c r="I96" i="31" s="1"/>
  <c r="G96" i="31"/>
  <c r="E96" i="31"/>
  <c r="G44" i="31" l="1"/>
  <c r="G52" i="31" s="1"/>
  <c r="G10" i="31"/>
  <c r="G40" i="31" s="1"/>
  <c r="G11" i="31"/>
  <c r="G41" i="31" s="1"/>
  <c r="G47" i="31"/>
  <c r="G48" i="31" s="1"/>
  <c r="G49" i="31" s="1"/>
  <c r="G50" i="31" s="1"/>
  <c r="G54" i="31"/>
  <c r="G53" i="31"/>
  <c r="F127" i="30"/>
  <c r="E127" i="30"/>
  <c r="F116" i="30"/>
  <c r="E116" i="30"/>
  <c r="G109" i="30"/>
  <c r="F109" i="30"/>
  <c r="F113" i="30" s="1"/>
  <c r="E109" i="30"/>
  <c r="E113" i="30" s="1"/>
  <c r="I91" i="30"/>
  <c r="G91" i="30"/>
  <c r="E91" i="30"/>
  <c r="I89" i="30"/>
  <c r="G89" i="30"/>
  <c r="E89" i="30"/>
  <c r="I80" i="30"/>
  <c r="I87" i="30" s="1"/>
  <c r="G80" i="30"/>
  <c r="G87" i="30" s="1"/>
  <c r="E80" i="30"/>
  <c r="E87" i="30" s="1"/>
  <c r="I75" i="30"/>
  <c r="G75" i="30"/>
  <c r="E75" i="30"/>
  <c r="I69" i="30"/>
  <c r="G69" i="30"/>
  <c r="E69" i="30"/>
  <c r="I68" i="30"/>
  <c r="I86" i="30" s="1"/>
  <c r="G68" i="30"/>
  <c r="G86" i="30" s="1"/>
  <c r="E68" i="30"/>
  <c r="E86" i="30" s="1"/>
  <c r="I63" i="30"/>
  <c r="G63" i="30"/>
  <c r="E63" i="30"/>
  <c r="E45" i="30"/>
  <c r="I43" i="30"/>
  <c r="G43" i="30"/>
  <c r="E43" i="30"/>
  <c r="E42" i="30"/>
  <c r="E36" i="30"/>
  <c r="G25" i="30"/>
  <c r="I25" i="30" s="1"/>
  <c r="G24" i="30"/>
  <c r="I24" i="30" s="1"/>
  <c r="G23" i="30"/>
  <c r="I23" i="30" s="1"/>
  <c r="G13" i="30"/>
  <c r="G42" i="30" s="1"/>
  <c r="F10" i="30"/>
  <c r="E10" i="30"/>
  <c r="E40" i="30" s="1"/>
  <c r="F9" i="30"/>
  <c r="F110" i="30" s="1"/>
  <c r="E9" i="30"/>
  <c r="E110" i="30" s="1"/>
  <c r="G8" i="30"/>
  <c r="I5" i="30" s="1"/>
  <c r="G7" i="30"/>
  <c r="I4" i="30" s="1"/>
  <c r="F127" i="29"/>
  <c r="E127" i="29"/>
  <c r="F116" i="29"/>
  <c r="E116" i="29"/>
  <c r="E115" i="29"/>
  <c r="E117" i="29" s="1"/>
  <c r="G109" i="29"/>
  <c r="F109" i="29"/>
  <c r="F113" i="29" s="1"/>
  <c r="E109" i="29"/>
  <c r="E111" i="29" s="1"/>
  <c r="I91" i="29"/>
  <c r="G91" i="29"/>
  <c r="E91" i="29"/>
  <c r="I89" i="29"/>
  <c r="G89" i="29"/>
  <c r="E89" i="29"/>
  <c r="I80" i="29"/>
  <c r="I87" i="29" s="1"/>
  <c r="G80" i="29"/>
  <c r="G87" i="29" s="1"/>
  <c r="G90" i="29" s="1"/>
  <c r="E80" i="29"/>
  <c r="E87" i="29" s="1"/>
  <c r="I75" i="29"/>
  <c r="G75" i="29"/>
  <c r="E75" i="29"/>
  <c r="E85" i="29" s="1"/>
  <c r="I69" i="29"/>
  <c r="G69" i="29"/>
  <c r="E69" i="29"/>
  <c r="I68" i="29"/>
  <c r="I86" i="29" s="1"/>
  <c r="G68" i="29"/>
  <c r="G86" i="29" s="1"/>
  <c r="E68" i="29"/>
  <c r="I63" i="29"/>
  <c r="G63" i="29"/>
  <c r="E63" i="29"/>
  <c r="E45" i="29"/>
  <c r="I43" i="29"/>
  <c r="G43" i="29"/>
  <c r="E43" i="29"/>
  <c r="E42" i="29"/>
  <c r="E36" i="29"/>
  <c r="G23" i="29"/>
  <c r="G36" i="29" s="1"/>
  <c r="I13" i="29"/>
  <c r="I45" i="29" s="1"/>
  <c r="G13" i="29"/>
  <c r="G42" i="29" s="1"/>
  <c r="F10" i="29"/>
  <c r="E10" i="29"/>
  <c r="E40" i="29" s="1"/>
  <c r="F9" i="29"/>
  <c r="E9" i="29"/>
  <c r="G8" i="29"/>
  <c r="I5" i="29" s="1"/>
  <c r="I8" i="29" s="1"/>
  <c r="G7" i="29"/>
  <c r="I4" i="29" s="1"/>
  <c r="F127" i="28"/>
  <c r="E127" i="28"/>
  <c r="F116" i="28"/>
  <c r="E116" i="28"/>
  <c r="E115" i="28"/>
  <c r="E117" i="28" s="1"/>
  <c r="G109" i="28"/>
  <c r="F109" i="28"/>
  <c r="F113" i="28" s="1"/>
  <c r="E109" i="28"/>
  <c r="E111" i="28" s="1"/>
  <c r="I91" i="28"/>
  <c r="G91" i="28"/>
  <c r="E91" i="28"/>
  <c r="I89" i="28"/>
  <c r="G89" i="28"/>
  <c r="E89" i="28"/>
  <c r="I80" i="28"/>
  <c r="I87" i="28" s="1"/>
  <c r="G80" i="28"/>
  <c r="G87" i="28" s="1"/>
  <c r="E80" i="28"/>
  <c r="E87" i="28" s="1"/>
  <c r="I75" i="28"/>
  <c r="G75" i="28"/>
  <c r="E75" i="28"/>
  <c r="I69" i="28"/>
  <c r="G69" i="28"/>
  <c r="E69" i="28"/>
  <c r="I68" i="28"/>
  <c r="I86" i="28" s="1"/>
  <c r="G68" i="28"/>
  <c r="G86" i="28" s="1"/>
  <c r="E68" i="28"/>
  <c r="E86" i="28" s="1"/>
  <c r="I63" i="28"/>
  <c r="G63" i="28"/>
  <c r="E63" i="28"/>
  <c r="E45" i="28"/>
  <c r="I43" i="28"/>
  <c r="G43" i="28"/>
  <c r="E43" i="28"/>
  <c r="E42" i="28"/>
  <c r="E36" i="28"/>
  <c r="G23" i="28"/>
  <c r="G36" i="28" s="1"/>
  <c r="I13" i="28"/>
  <c r="I45" i="28" s="1"/>
  <c r="G13" i="28"/>
  <c r="G45" i="28" s="1"/>
  <c r="F10" i="28"/>
  <c r="E10" i="28"/>
  <c r="E40" i="28" s="1"/>
  <c r="F9" i="28"/>
  <c r="F110" i="28" s="1"/>
  <c r="E9" i="28"/>
  <c r="E119" i="28" s="1"/>
  <c r="G8" i="28"/>
  <c r="I5" i="28" s="1"/>
  <c r="I8" i="28" s="1"/>
  <c r="G7" i="28"/>
  <c r="I4" i="28" s="1"/>
  <c r="I7" i="28" s="1"/>
  <c r="F127" i="27"/>
  <c r="E127" i="27"/>
  <c r="F116" i="27"/>
  <c r="E116" i="27"/>
  <c r="E115" i="27"/>
  <c r="E117" i="27" s="1"/>
  <c r="G109" i="27"/>
  <c r="F109" i="27"/>
  <c r="F113" i="27" s="1"/>
  <c r="E109" i="27"/>
  <c r="E113" i="27" s="1"/>
  <c r="E114" i="27" s="1"/>
  <c r="I91" i="27"/>
  <c r="G91" i="27"/>
  <c r="E91" i="27"/>
  <c r="I89" i="27"/>
  <c r="I95" i="27" s="1"/>
  <c r="G89" i="27"/>
  <c r="E89" i="27"/>
  <c r="I80" i="27"/>
  <c r="G80" i="27"/>
  <c r="G87" i="27" s="1"/>
  <c r="E80" i="27"/>
  <c r="E87" i="27" s="1"/>
  <c r="I75" i="27"/>
  <c r="G75" i="27"/>
  <c r="E75" i="27"/>
  <c r="E85" i="27" s="1"/>
  <c r="I69" i="27"/>
  <c r="G69" i="27"/>
  <c r="E69" i="27"/>
  <c r="I68" i="27"/>
  <c r="G68" i="27"/>
  <c r="G86" i="27" s="1"/>
  <c r="E68" i="27"/>
  <c r="E86" i="27" s="1"/>
  <c r="I63" i="27"/>
  <c r="G63" i="27"/>
  <c r="E63" i="27"/>
  <c r="E45" i="27"/>
  <c r="I43" i="27"/>
  <c r="G43" i="27"/>
  <c r="E43" i="27"/>
  <c r="E42" i="27"/>
  <c r="E36" i="27"/>
  <c r="G23" i="27"/>
  <c r="G36" i="27" s="1"/>
  <c r="I13" i="27"/>
  <c r="I45" i="27" s="1"/>
  <c r="G13" i="27"/>
  <c r="G45" i="27" s="1"/>
  <c r="F10" i="27"/>
  <c r="E10" i="27"/>
  <c r="E40" i="27" s="1"/>
  <c r="F9" i="27"/>
  <c r="F119" i="27" s="1"/>
  <c r="E9" i="27"/>
  <c r="G8" i="27"/>
  <c r="I5" i="27" s="1"/>
  <c r="G7" i="27"/>
  <c r="I4" i="27" s="1"/>
  <c r="G13" i="11"/>
  <c r="G13" i="23"/>
  <c r="I13" i="23" s="1"/>
  <c r="G85" i="29" l="1"/>
  <c r="I95" i="30"/>
  <c r="F114" i="28"/>
  <c r="E90" i="28"/>
  <c r="E119" i="30"/>
  <c r="G85" i="27"/>
  <c r="I95" i="29"/>
  <c r="I7" i="30"/>
  <c r="I85" i="30"/>
  <c r="E95" i="27"/>
  <c r="G85" i="28"/>
  <c r="E118" i="29"/>
  <c r="E120" i="29" s="1"/>
  <c r="E84" i="29"/>
  <c r="I85" i="29"/>
  <c r="E84" i="30"/>
  <c r="I84" i="30"/>
  <c r="E90" i="30"/>
  <c r="I8" i="27"/>
  <c r="I23" i="27"/>
  <c r="I36" i="27" s="1"/>
  <c r="G95" i="27"/>
  <c r="E95" i="29"/>
  <c r="E114" i="30"/>
  <c r="G101" i="31"/>
  <c r="G100" i="31" s="1"/>
  <c r="G99" i="31" s="1"/>
  <c r="F114" i="30"/>
  <c r="I8" i="30"/>
  <c r="E85" i="30"/>
  <c r="E95" i="30"/>
  <c r="F119" i="30"/>
  <c r="G85" i="30"/>
  <c r="I90" i="30"/>
  <c r="G95" i="30"/>
  <c r="I36" i="30"/>
  <c r="G36" i="30"/>
  <c r="G45" i="30"/>
  <c r="G90" i="30"/>
  <c r="I92" i="30"/>
  <c r="G84" i="30"/>
  <c r="E115" i="30"/>
  <c r="E117" i="30" s="1"/>
  <c r="E11" i="30"/>
  <c r="E41" i="30" s="1"/>
  <c r="F11" i="30"/>
  <c r="I13" i="30"/>
  <c r="E111" i="30"/>
  <c r="F115" i="30"/>
  <c r="F117" i="30" s="1"/>
  <c r="F111" i="30"/>
  <c r="I7" i="29"/>
  <c r="E44" i="29"/>
  <c r="E53" i="29" s="1"/>
  <c r="G84" i="29"/>
  <c r="G92" i="29" s="1"/>
  <c r="G96" i="29" s="1"/>
  <c r="E92" i="29"/>
  <c r="I84" i="29"/>
  <c r="I92" i="29" s="1"/>
  <c r="I90" i="29"/>
  <c r="I96" i="29" s="1"/>
  <c r="G95" i="29"/>
  <c r="E47" i="29"/>
  <c r="E48" i="29" s="1"/>
  <c r="E49" i="29" s="1"/>
  <c r="E113" i="29"/>
  <c r="E114" i="29" s="1"/>
  <c r="E119" i="29"/>
  <c r="I23" i="29"/>
  <c r="I36" i="29" s="1"/>
  <c r="I42" i="29"/>
  <c r="G45" i="29"/>
  <c r="F110" i="29"/>
  <c r="F119" i="29"/>
  <c r="E11" i="29"/>
  <c r="E41" i="29" s="1"/>
  <c r="E86" i="29"/>
  <c r="E90" i="29" s="1"/>
  <c r="F11" i="29"/>
  <c r="I7" i="27"/>
  <c r="G42" i="28"/>
  <c r="E85" i="28"/>
  <c r="E95" i="28"/>
  <c r="F119" i="28"/>
  <c r="I42" i="28"/>
  <c r="I84" i="28"/>
  <c r="I92" i="28" s="1"/>
  <c r="I96" i="28" s="1"/>
  <c r="I90" i="28"/>
  <c r="G95" i="28"/>
  <c r="E118" i="28"/>
  <c r="E120" i="28" s="1"/>
  <c r="E44" i="28" s="1"/>
  <c r="E54" i="28" s="1"/>
  <c r="G84" i="28"/>
  <c r="I85" i="28"/>
  <c r="I95" i="28"/>
  <c r="E113" i="28"/>
  <c r="E114" i="28" s="1"/>
  <c r="G90" i="28"/>
  <c r="E84" i="28"/>
  <c r="E11" i="28"/>
  <c r="E41" i="28" s="1"/>
  <c r="I23" i="28"/>
  <c r="I36" i="28" s="1"/>
  <c r="F115" i="28"/>
  <c r="F117" i="28" s="1"/>
  <c r="F11" i="28"/>
  <c r="F111" i="28"/>
  <c r="E118" i="27"/>
  <c r="E120" i="27" s="1"/>
  <c r="E47" i="27" s="1"/>
  <c r="E48" i="27" s="1"/>
  <c r="E49" i="27" s="1"/>
  <c r="E84" i="27"/>
  <c r="E92" i="27" s="1"/>
  <c r="E90" i="27"/>
  <c r="G84" i="27"/>
  <c r="I84" i="27"/>
  <c r="G90" i="27"/>
  <c r="I85" i="27"/>
  <c r="G92" i="27"/>
  <c r="E111" i="27"/>
  <c r="G42" i="27"/>
  <c r="I86" i="27"/>
  <c r="E119" i="27"/>
  <c r="E11" i="27"/>
  <c r="E41" i="27" s="1"/>
  <c r="F11" i="27"/>
  <c r="I87" i="27"/>
  <c r="I90" i="27" s="1"/>
  <c r="I42" i="27"/>
  <c r="F110" i="27"/>
  <c r="G92" i="28" l="1"/>
  <c r="I96" i="30"/>
  <c r="G96" i="27"/>
  <c r="I92" i="27"/>
  <c r="E92" i="28"/>
  <c r="E96" i="28" s="1"/>
  <c r="E96" i="27"/>
  <c r="E101" i="27" s="1"/>
  <c r="E102" i="27" s="1"/>
  <c r="E92" i="30"/>
  <c r="E96" i="30" s="1"/>
  <c r="E44" i="27"/>
  <c r="E96" i="29"/>
  <c r="E101" i="29" s="1"/>
  <c r="G102" i="31"/>
  <c r="G92" i="30"/>
  <c r="G96" i="30" s="1"/>
  <c r="I45" i="30"/>
  <c r="I42" i="30"/>
  <c r="F118" i="30"/>
  <c r="F120" i="30" s="1"/>
  <c r="G6" i="30" s="1"/>
  <c r="E118" i="30"/>
  <c r="E120" i="30" s="1"/>
  <c r="E54" i="29"/>
  <c r="E52" i="29"/>
  <c r="F114" i="29"/>
  <c r="F111" i="29"/>
  <c r="F115" i="29"/>
  <c r="B150" i="29"/>
  <c r="E50" i="29"/>
  <c r="E125" i="29"/>
  <c r="E129" i="29" s="1"/>
  <c r="E53" i="28"/>
  <c r="G96" i="28"/>
  <c r="E47" i="28"/>
  <c r="E48" i="28" s="1"/>
  <c r="E49" i="28" s="1"/>
  <c r="B150" i="28" s="1"/>
  <c r="E52" i="28"/>
  <c r="F118" i="28"/>
  <c r="F120" i="28" s="1"/>
  <c r="G6" i="28" s="1"/>
  <c r="E50" i="27"/>
  <c r="E125" i="27"/>
  <c r="E129" i="27" s="1"/>
  <c r="B150" i="27"/>
  <c r="F115" i="27"/>
  <c r="F111" i="27"/>
  <c r="F114" i="27"/>
  <c r="I96" i="27"/>
  <c r="E54" i="27"/>
  <c r="E53" i="27" l="1"/>
  <c r="E52" i="27"/>
  <c r="E44" i="30"/>
  <c r="E47" i="30"/>
  <c r="E48" i="30" s="1"/>
  <c r="E49" i="30" s="1"/>
  <c r="G10" i="30"/>
  <c r="G40" i="30" s="1"/>
  <c r="G9" i="30"/>
  <c r="G11" i="30" s="1"/>
  <c r="G41" i="30" s="1"/>
  <c r="I3" i="30"/>
  <c r="I6" i="30" s="1"/>
  <c r="E102" i="29"/>
  <c r="E100" i="29"/>
  <c r="E99" i="29" s="1"/>
  <c r="F117" i="29"/>
  <c r="F118" i="29"/>
  <c r="F120" i="29" s="1"/>
  <c r="G6" i="29" s="1"/>
  <c r="E100" i="27"/>
  <c r="E99" i="27" s="1"/>
  <c r="E101" i="28"/>
  <c r="E102" i="28" s="1"/>
  <c r="E125" i="28"/>
  <c r="E129" i="28" s="1"/>
  <c r="E50" i="28"/>
  <c r="I3" i="28"/>
  <c r="I6" i="28" s="1"/>
  <c r="G9" i="28"/>
  <c r="G11" i="28" s="1"/>
  <c r="G41" i="28" s="1"/>
  <c r="G10" i="28"/>
  <c r="G40" i="28" s="1"/>
  <c r="F117" i="27"/>
  <c r="F118" i="27"/>
  <c r="F120" i="27" s="1"/>
  <c r="G6" i="27" s="1"/>
  <c r="E9" i="18"/>
  <c r="G44" i="30" l="1"/>
  <c r="G47" i="30"/>
  <c r="G48" i="30" s="1"/>
  <c r="G49" i="30" s="1"/>
  <c r="G50" i="30" s="1"/>
  <c r="G53" i="30"/>
  <c r="G52" i="30"/>
  <c r="G54" i="30"/>
  <c r="I10" i="30"/>
  <c r="I40" i="30" s="1"/>
  <c r="I9" i="30"/>
  <c r="I11" i="30" s="1"/>
  <c r="I41" i="30" s="1"/>
  <c r="B150" i="30"/>
  <c r="E101" i="30"/>
  <c r="E50" i="30"/>
  <c r="E125" i="30"/>
  <c r="E129" i="30" s="1"/>
  <c r="G101" i="30"/>
  <c r="E53" i="30"/>
  <c r="E54" i="30"/>
  <c r="E52" i="30"/>
  <c r="G10" i="29"/>
  <c r="G40" i="29" s="1"/>
  <c r="G9" i="29"/>
  <c r="G11" i="29" s="1"/>
  <c r="G41" i="29" s="1"/>
  <c r="I3" i="29"/>
  <c r="I6" i="29" s="1"/>
  <c r="E100" i="28"/>
  <c r="E99" i="28" s="1"/>
  <c r="G47" i="28"/>
  <c r="G48" i="28" s="1"/>
  <c r="G49" i="28" s="1"/>
  <c r="G101" i="28" s="1"/>
  <c r="I9" i="28"/>
  <c r="I44" i="28" s="1"/>
  <c r="I10" i="28"/>
  <c r="I40" i="28" s="1"/>
  <c r="G44" i="28"/>
  <c r="I3" i="27"/>
  <c r="I6" i="27" s="1"/>
  <c r="G10" i="27"/>
  <c r="G40" i="27" s="1"/>
  <c r="G9" i="27"/>
  <c r="G44" i="27" s="1"/>
  <c r="G23" i="18"/>
  <c r="I68" i="19"/>
  <c r="E68" i="19"/>
  <c r="G25" i="19"/>
  <c r="I25" i="19" s="1"/>
  <c r="G24" i="19"/>
  <c r="I24" i="19" s="1"/>
  <c r="G13" i="19"/>
  <c r="E80" i="19"/>
  <c r="G80" i="19"/>
  <c r="I80" i="19"/>
  <c r="I75" i="19"/>
  <c r="G75" i="19"/>
  <c r="E75" i="19"/>
  <c r="F10" i="19"/>
  <c r="G68" i="19"/>
  <c r="I63" i="19"/>
  <c r="G63" i="19"/>
  <c r="E63" i="19"/>
  <c r="G23" i="19"/>
  <c r="F9" i="19"/>
  <c r="I68" i="18"/>
  <c r="E80" i="18"/>
  <c r="G80" i="18"/>
  <c r="I80" i="18"/>
  <c r="I75" i="18"/>
  <c r="G75" i="18"/>
  <c r="E75" i="18"/>
  <c r="I63" i="18"/>
  <c r="G63" i="18"/>
  <c r="E63" i="18"/>
  <c r="E68" i="18"/>
  <c r="G68" i="18"/>
  <c r="I13" i="18"/>
  <c r="G13" i="18"/>
  <c r="F10" i="18"/>
  <c r="F9" i="18"/>
  <c r="G75" i="23"/>
  <c r="F10" i="23"/>
  <c r="I68" i="23"/>
  <c r="G68" i="23"/>
  <c r="E68" i="23"/>
  <c r="F9" i="23"/>
  <c r="I80" i="23"/>
  <c r="G80" i="23"/>
  <c r="E80" i="23"/>
  <c r="I75" i="23"/>
  <c r="E75" i="23"/>
  <c r="I63" i="23"/>
  <c r="G63" i="23"/>
  <c r="E63" i="23"/>
  <c r="I68" i="11"/>
  <c r="G68" i="11"/>
  <c r="E68" i="11"/>
  <c r="E80" i="11"/>
  <c r="G80" i="11"/>
  <c r="I80" i="11"/>
  <c r="I75" i="11"/>
  <c r="G75" i="11"/>
  <c r="E75" i="11"/>
  <c r="I63" i="11"/>
  <c r="G63" i="11"/>
  <c r="E63" i="11"/>
  <c r="I47" i="30" l="1"/>
  <c r="I48" i="30" s="1"/>
  <c r="I49" i="30" s="1"/>
  <c r="G44" i="29"/>
  <c r="G53" i="29" s="1"/>
  <c r="I44" i="30"/>
  <c r="I52" i="30" s="1"/>
  <c r="J49" i="30"/>
  <c r="F125" i="30"/>
  <c r="F129" i="30" s="1"/>
  <c r="D150" i="30" s="1"/>
  <c r="E140" i="30" s="1"/>
  <c r="F150" i="30" s="1"/>
  <c r="H153" i="30" s="1"/>
  <c r="I50" i="30"/>
  <c r="I101" i="30"/>
  <c r="G102" i="30"/>
  <c r="G100" i="30"/>
  <c r="G99" i="30" s="1"/>
  <c r="E102" i="30"/>
  <c r="E100" i="30"/>
  <c r="E99" i="30" s="1"/>
  <c r="G47" i="29"/>
  <c r="G48" i="29" s="1"/>
  <c r="G49" i="29" s="1"/>
  <c r="G101" i="29" s="1"/>
  <c r="I10" i="29"/>
  <c r="I40" i="29" s="1"/>
  <c r="I9" i="29"/>
  <c r="I11" i="29" s="1"/>
  <c r="I41" i="29" s="1"/>
  <c r="I44" i="29"/>
  <c r="G50" i="29"/>
  <c r="G54" i="29"/>
  <c r="G50" i="28"/>
  <c r="I53" i="28"/>
  <c r="I54" i="28"/>
  <c r="I52" i="28"/>
  <c r="G52" i="28"/>
  <c r="G53" i="28"/>
  <c r="G54" i="28"/>
  <c r="I47" i="28"/>
  <c r="I48" i="28" s="1"/>
  <c r="I49" i="28" s="1"/>
  <c r="I11" i="28"/>
  <c r="I41" i="28" s="1"/>
  <c r="G102" i="28"/>
  <c r="G100" i="28"/>
  <c r="G99" i="28" s="1"/>
  <c r="G11" i="27"/>
  <c r="G41" i="27" s="1"/>
  <c r="G53" i="27"/>
  <c r="G54" i="27"/>
  <c r="G52" i="27"/>
  <c r="G47" i="27"/>
  <c r="G48" i="27" s="1"/>
  <c r="G49" i="27" s="1"/>
  <c r="I10" i="27"/>
  <c r="I40" i="27" s="1"/>
  <c r="I9" i="27"/>
  <c r="I11" i="27" s="1"/>
  <c r="I41" i="27" s="1"/>
  <c r="F127" i="23"/>
  <c r="E127" i="23"/>
  <c r="F119" i="23"/>
  <c r="F116" i="23"/>
  <c r="E116" i="23"/>
  <c r="F115" i="23"/>
  <c r="F117" i="23" s="1"/>
  <c r="G109" i="23"/>
  <c r="F109" i="23"/>
  <c r="F111" i="23" s="1"/>
  <c r="E109" i="23"/>
  <c r="E113" i="23" s="1"/>
  <c r="I91" i="23"/>
  <c r="G91" i="23"/>
  <c r="E91" i="23"/>
  <c r="I89" i="23"/>
  <c r="G89" i="23"/>
  <c r="E89" i="23"/>
  <c r="I87" i="23"/>
  <c r="G87" i="23"/>
  <c r="E87" i="23"/>
  <c r="I86" i="23"/>
  <c r="G86" i="23"/>
  <c r="E86" i="23"/>
  <c r="I85" i="23"/>
  <c r="G85" i="23"/>
  <c r="E85" i="23"/>
  <c r="I69" i="23"/>
  <c r="I84" i="23" s="1"/>
  <c r="G69" i="23"/>
  <c r="G84" i="23" s="1"/>
  <c r="E69" i="23"/>
  <c r="E84" i="23" s="1"/>
  <c r="E45" i="23"/>
  <c r="I43" i="23"/>
  <c r="G43" i="23"/>
  <c r="E43" i="23"/>
  <c r="E42" i="23"/>
  <c r="E36" i="23"/>
  <c r="G23" i="23"/>
  <c r="G36" i="23" s="1"/>
  <c r="G42" i="23"/>
  <c r="F11" i="23"/>
  <c r="E10" i="23"/>
  <c r="E40" i="23" s="1"/>
  <c r="E9" i="23"/>
  <c r="G8" i="23"/>
  <c r="I5" i="23" s="1"/>
  <c r="G7" i="23"/>
  <c r="I4" i="23" s="1"/>
  <c r="F118" i="23" l="1"/>
  <c r="F120" i="23" s="1"/>
  <c r="G6" i="23" s="1"/>
  <c r="I44" i="27"/>
  <c r="E95" i="23"/>
  <c r="I54" i="30"/>
  <c r="G95" i="23"/>
  <c r="G52" i="29"/>
  <c r="I53" i="30"/>
  <c r="I102" i="30"/>
  <c r="I100" i="30"/>
  <c r="I99" i="30" s="1"/>
  <c r="A162" i="30"/>
  <c r="H155" i="30"/>
  <c r="J159" i="30"/>
  <c r="H157" i="30"/>
  <c r="G166" i="30" s="1"/>
  <c r="J160" i="30"/>
  <c r="H165" i="30"/>
  <c r="G165" i="30"/>
  <c r="G102" i="29"/>
  <c r="G100" i="29"/>
  <c r="G99" i="29" s="1"/>
  <c r="I53" i="29"/>
  <c r="I52" i="29"/>
  <c r="I54" i="29"/>
  <c r="I47" i="29"/>
  <c r="I48" i="29" s="1"/>
  <c r="I49" i="29" s="1"/>
  <c r="I50" i="28"/>
  <c r="J49" i="28"/>
  <c r="I101" i="28"/>
  <c r="F125" i="28"/>
  <c r="F129" i="28" s="1"/>
  <c r="D150" i="28" s="1"/>
  <c r="E140" i="28" s="1"/>
  <c r="G101" i="27"/>
  <c r="G50" i="27"/>
  <c r="I53" i="27"/>
  <c r="I52" i="27"/>
  <c r="I54" i="27"/>
  <c r="I47" i="27"/>
  <c r="I48" i="27" s="1"/>
  <c r="I49" i="27" s="1"/>
  <c r="I90" i="23"/>
  <c r="G90" i="23"/>
  <c r="E90" i="23"/>
  <c r="I8" i="23"/>
  <c r="E92" i="23"/>
  <c r="I7" i="23"/>
  <c r="I92" i="23"/>
  <c r="I45" i="23"/>
  <c r="I95" i="23"/>
  <c r="G92" i="23"/>
  <c r="I3" i="23"/>
  <c r="G9" i="23"/>
  <c r="G47" i="23" s="1"/>
  <c r="G48" i="23" s="1"/>
  <c r="G49" i="23" s="1"/>
  <c r="G10" i="23"/>
  <c r="G40" i="23" s="1"/>
  <c r="E119" i="23"/>
  <c r="I23" i="23"/>
  <c r="I36" i="23" s="1"/>
  <c r="G45" i="23"/>
  <c r="E110" i="23"/>
  <c r="F113" i="23"/>
  <c r="F114" i="23" s="1"/>
  <c r="E11" i="23"/>
  <c r="E41" i="23" s="1"/>
  <c r="G169" i="30" l="1"/>
  <c r="H169" i="30" s="1"/>
  <c r="H166" i="30"/>
  <c r="G168" i="30"/>
  <c r="H168" i="30" s="1"/>
  <c r="I50" i="29"/>
  <c r="J49" i="29"/>
  <c r="I101" i="29"/>
  <c r="F125" i="29"/>
  <c r="F129" i="29" s="1"/>
  <c r="D150" i="29" s="1"/>
  <c r="E140" i="29" s="1"/>
  <c r="A162" i="28"/>
  <c r="H155" i="28"/>
  <c r="G165" i="28"/>
  <c r="H165" i="28" s="1"/>
  <c r="J160" i="28"/>
  <c r="J159" i="28"/>
  <c r="H157" i="28"/>
  <c r="G166" i="28" s="1"/>
  <c r="F150" i="28"/>
  <c r="H153" i="28" s="1"/>
  <c r="I102" i="28"/>
  <c r="I100" i="28"/>
  <c r="I99" i="28" s="1"/>
  <c r="F125" i="27"/>
  <c r="F129" i="27" s="1"/>
  <c r="D150" i="27" s="1"/>
  <c r="E140" i="27" s="1"/>
  <c r="J49" i="27"/>
  <c r="I50" i="27"/>
  <c r="I101" i="27"/>
  <c r="G102" i="27"/>
  <c r="G100" i="27"/>
  <c r="G99" i="27" s="1"/>
  <c r="E96" i="23"/>
  <c r="G96" i="23"/>
  <c r="G101" i="23" s="1"/>
  <c r="I96" i="23"/>
  <c r="I42" i="23"/>
  <c r="G44" i="23"/>
  <c r="G54" i="23" s="1"/>
  <c r="G11" i="23"/>
  <c r="G41" i="23" s="1"/>
  <c r="G50" i="23"/>
  <c r="E114" i="23"/>
  <c r="E111" i="23"/>
  <c r="E115" i="23"/>
  <c r="F11" i="15"/>
  <c r="I102" i="29" l="1"/>
  <c r="I100" i="29"/>
  <c r="I99" i="29" s="1"/>
  <c r="A162" i="29"/>
  <c r="H155" i="29"/>
  <c r="J160" i="29"/>
  <c r="J159" i="29"/>
  <c r="G165" i="29"/>
  <c r="H165" i="29" s="1"/>
  <c r="H157" i="29"/>
  <c r="G166" i="29" s="1"/>
  <c r="H166" i="29" s="1"/>
  <c r="F150" i="29"/>
  <c r="H153" i="29" s="1"/>
  <c r="G169" i="28"/>
  <c r="H169" i="28" s="1"/>
  <c r="G168" i="28"/>
  <c r="H168" i="28" s="1"/>
  <c r="H166" i="28"/>
  <c r="I102" i="27"/>
  <c r="I100" i="27"/>
  <c r="I99" i="27" s="1"/>
  <c r="H165" i="27"/>
  <c r="J159" i="27"/>
  <c r="J160" i="27"/>
  <c r="G165" i="27"/>
  <c r="H157" i="27"/>
  <c r="G166" i="27" s="1"/>
  <c r="H166" i="27" s="1"/>
  <c r="A162" i="27"/>
  <c r="H155" i="27"/>
  <c r="F150" i="27"/>
  <c r="H153" i="27" s="1"/>
  <c r="G52" i="23"/>
  <c r="G53" i="23"/>
  <c r="G102" i="23"/>
  <c r="G100" i="23"/>
  <c r="G99" i="23" s="1"/>
  <c r="E117" i="23"/>
  <c r="E118" i="23"/>
  <c r="E120" i="23" s="1"/>
  <c r="E47" i="23" s="1"/>
  <c r="F127" i="19"/>
  <c r="E127" i="19"/>
  <c r="F119" i="19"/>
  <c r="F116" i="19"/>
  <c r="E116" i="19"/>
  <c r="F110" i="19"/>
  <c r="F115" i="19" s="1"/>
  <c r="G109" i="19"/>
  <c r="F109" i="19"/>
  <c r="F113" i="19" s="1"/>
  <c r="E109" i="19"/>
  <c r="E113" i="19" s="1"/>
  <c r="I91" i="19"/>
  <c r="G91" i="19"/>
  <c r="E91" i="19"/>
  <c r="I89" i="19"/>
  <c r="G89" i="19"/>
  <c r="E89" i="19"/>
  <c r="I87" i="19"/>
  <c r="G87" i="19"/>
  <c r="E87" i="19"/>
  <c r="I86" i="19"/>
  <c r="G86" i="19"/>
  <c r="E86" i="19"/>
  <c r="I85" i="19"/>
  <c r="G85" i="19"/>
  <c r="E85" i="19"/>
  <c r="I69" i="19"/>
  <c r="I84" i="19" s="1"/>
  <c r="G69" i="19"/>
  <c r="G84" i="19" s="1"/>
  <c r="E69" i="19"/>
  <c r="E84" i="19" s="1"/>
  <c r="G45" i="19"/>
  <c r="E45" i="19"/>
  <c r="I43" i="19"/>
  <c r="G43" i="19"/>
  <c r="E43" i="19"/>
  <c r="G42" i="19"/>
  <c r="E42" i="19"/>
  <c r="E36" i="19"/>
  <c r="I13" i="19"/>
  <c r="I45" i="19" s="1"/>
  <c r="F11" i="19"/>
  <c r="E10" i="19"/>
  <c r="E40" i="19" s="1"/>
  <c r="E9" i="19"/>
  <c r="E119" i="19" s="1"/>
  <c r="G8" i="19"/>
  <c r="I5" i="19" s="1"/>
  <c r="G7" i="19"/>
  <c r="I4" i="19" s="1"/>
  <c r="F127" i="18"/>
  <c r="E127" i="18"/>
  <c r="F119" i="18"/>
  <c r="F116" i="18"/>
  <c r="E116" i="18"/>
  <c r="F110" i="18"/>
  <c r="G109" i="18"/>
  <c r="F109" i="18"/>
  <c r="F113" i="18" s="1"/>
  <c r="E109" i="18"/>
  <c r="E113" i="18" s="1"/>
  <c r="I91" i="18"/>
  <c r="G91" i="18"/>
  <c r="E91" i="18"/>
  <c r="I89" i="18"/>
  <c r="G89" i="18"/>
  <c r="E89" i="18"/>
  <c r="I87" i="18"/>
  <c r="G87" i="18"/>
  <c r="E87" i="18"/>
  <c r="I86" i="18"/>
  <c r="G86" i="18"/>
  <c r="E86" i="18"/>
  <c r="I85" i="18"/>
  <c r="G85" i="18"/>
  <c r="E85" i="18"/>
  <c r="I84" i="18"/>
  <c r="I69" i="18"/>
  <c r="G69" i="18"/>
  <c r="G84" i="18" s="1"/>
  <c r="E69" i="18"/>
  <c r="E84" i="18" s="1"/>
  <c r="G45" i="18"/>
  <c r="E45" i="18"/>
  <c r="I43" i="18"/>
  <c r="G43" i="18"/>
  <c r="E43" i="18"/>
  <c r="G42" i="18"/>
  <c r="E42" i="18"/>
  <c r="I36" i="18"/>
  <c r="G36" i="18"/>
  <c r="E36" i="18"/>
  <c r="I23" i="18"/>
  <c r="I42" i="18"/>
  <c r="F11" i="18"/>
  <c r="E10" i="18"/>
  <c r="E40" i="18" s="1"/>
  <c r="G8" i="18"/>
  <c r="I5" i="18" s="1"/>
  <c r="I8" i="18" s="1"/>
  <c r="G7" i="18"/>
  <c r="I4" i="18" s="1"/>
  <c r="G90" i="18" l="1"/>
  <c r="G95" i="19"/>
  <c r="G169" i="29"/>
  <c r="H169" i="29" s="1"/>
  <c r="G168" i="29"/>
  <c r="H168" i="29" s="1"/>
  <c r="G168" i="27"/>
  <c r="H168" i="27" s="1"/>
  <c r="G169" i="27"/>
  <c r="H169" i="27"/>
  <c r="E90" i="19"/>
  <c r="I90" i="18"/>
  <c r="G92" i="18"/>
  <c r="G96" i="18" s="1"/>
  <c r="D3" i="23"/>
  <c r="E44" i="23"/>
  <c r="E48" i="23"/>
  <c r="E49" i="23" s="1"/>
  <c r="I6" i="23"/>
  <c r="I92" i="19"/>
  <c r="I95" i="19"/>
  <c r="G95" i="18"/>
  <c r="F114" i="18"/>
  <c r="E95" i="19"/>
  <c r="I8" i="19"/>
  <c r="I7" i="19"/>
  <c r="G90" i="19"/>
  <c r="E92" i="19"/>
  <c r="E96" i="19" s="1"/>
  <c r="I90" i="19"/>
  <c r="G92" i="19"/>
  <c r="F117" i="19"/>
  <c r="F118" i="19"/>
  <c r="F120" i="19" s="1"/>
  <c r="G6" i="19" s="1"/>
  <c r="E11" i="19"/>
  <c r="E41" i="19" s="1"/>
  <c r="F111" i="19"/>
  <c r="F114" i="19"/>
  <c r="I42" i="19"/>
  <c r="E110" i="19"/>
  <c r="I45" i="18"/>
  <c r="I92" i="18"/>
  <c r="E90" i="18"/>
  <c r="I95" i="18"/>
  <c r="E92" i="18"/>
  <c r="I7" i="18"/>
  <c r="E119" i="18"/>
  <c r="E11" i="18"/>
  <c r="E41" i="18" s="1"/>
  <c r="E95" i="18"/>
  <c r="F115" i="18"/>
  <c r="F111" i="18"/>
  <c r="F127" i="17"/>
  <c r="E127" i="17"/>
  <c r="F119" i="17"/>
  <c r="F116" i="17"/>
  <c r="E116" i="17"/>
  <c r="F110" i="17"/>
  <c r="G109" i="17"/>
  <c r="F109" i="17"/>
  <c r="F113" i="17" s="1"/>
  <c r="E109" i="17"/>
  <c r="E113" i="17" s="1"/>
  <c r="I91" i="17"/>
  <c r="G91" i="17"/>
  <c r="E91" i="17"/>
  <c r="I89" i="17"/>
  <c r="G89" i="17"/>
  <c r="E89" i="17"/>
  <c r="I87" i="17"/>
  <c r="I90" i="17" s="1"/>
  <c r="G87" i="17"/>
  <c r="E87" i="17"/>
  <c r="I86" i="17"/>
  <c r="G86" i="17"/>
  <c r="E86" i="17"/>
  <c r="I85" i="17"/>
  <c r="G85" i="17"/>
  <c r="E85" i="17"/>
  <c r="I69" i="17"/>
  <c r="I84" i="17" s="1"/>
  <c r="G69" i="17"/>
  <c r="G84" i="17" s="1"/>
  <c r="E69" i="17"/>
  <c r="E84" i="17" s="1"/>
  <c r="G45" i="17"/>
  <c r="E45" i="17"/>
  <c r="I43" i="17"/>
  <c r="G43" i="17"/>
  <c r="E43" i="17"/>
  <c r="G42" i="17"/>
  <c r="E42" i="17"/>
  <c r="G36" i="17"/>
  <c r="E36" i="17"/>
  <c r="I23" i="17"/>
  <c r="I36" i="17" s="1"/>
  <c r="I13" i="17"/>
  <c r="I42" i="17" s="1"/>
  <c r="F11" i="17"/>
  <c r="E10" i="17"/>
  <c r="E40" i="17" s="1"/>
  <c r="E9" i="17"/>
  <c r="E11" i="17" s="1"/>
  <c r="E41" i="17" s="1"/>
  <c r="G8" i="17"/>
  <c r="I5" i="17" s="1"/>
  <c r="G7" i="17"/>
  <c r="I4" i="17" s="1"/>
  <c r="E44" i="17" l="1"/>
  <c r="E47" i="17"/>
  <c r="I95" i="17"/>
  <c r="I96" i="18"/>
  <c r="I96" i="19"/>
  <c r="I9" i="23"/>
  <c r="I11" i="23" s="1"/>
  <c r="I41" i="23" s="1"/>
  <c r="I10" i="23"/>
  <c r="I40" i="23" s="1"/>
  <c r="B150" i="23"/>
  <c r="E50" i="23"/>
  <c r="E125" i="23"/>
  <c r="E129" i="23" s="1"/>
  <c r="E101" i="23"/>
  <c r="E53" i="23"/>
  <c r="E52" i="23"/>
  <c r="E54" i="23"/>
  <c r="E95" i="17"/>
  <c r="G96" i="19"/>
  <c r="G95" i="17"/>
  <c r="E96" i="18"/>
  <c r="E92" i="17"/>
  <c r="E90" i="17"/>
  <c r="E115" i="19"/>
  <c r="E114" i="19"/>
  <c r="E111" i="19"/>
  <c r="G10" i="19"/>
  <c r="G40" i="19" s="1"/>
  <c r="G9" i="19"/>
  <c r="I3" i="19"/>
  <c r="F118" i="18"/>
  <c r="F120" i="18" s="1"/>
  <c r="G6" i="18" s="1"/>
  <c r="F117" i="18"/>
  <c r="E115" i="18"/>
  <c r="E114" i="18"/>
  <c r="E111" i="18"/>
  <c r="E119" i="17"/>
  <c r="I7" i="17"/>
  <c r="I8" i="17"/>
  <c r="I45" i="17"/>
  <c r="I92" i="17"/>
  <c r="I96" i="17" s="1"/>
  <c r="G90" i="17"/>
  <c r="E110" i="17"/>
  <c r="E115" i="17" s="1"/>
  <c r="E117" i="17" s="1"/>
  <c r="G92" i="17"/>
  <c r="G96" i="17" s="1"/>
  <c r="F114" i="17"/>
  <c r="F115" i="17"/>
  <c r="F111" i="17"/>
  <c r="F127" i="16"/>
  <c r="E127" i="16"/>
  <c r="F119" i="16"/>
  <c r="F116" i="16"/>
  <c r="E116" i="16"/>
  <c r="F110" i="16"/>
  <c r="G109" i="16"/>
  <c r="F109" i="16"/>
  <c r="F113" i="16" s="1"/>
  <c r="E109" i="16"/>
  <c r="E113" i="16" s="1"/>
  <c r="I91" i="16"/>
  <c r="G91" i="16"/>
  <c r="E91" i="16"/>
  <c r="I89" i="16"/>
  <c r="G89" i="16"/>
  <c r="E89" i="16"/>
  <c r="I87" i="16"/>
  <c r="I90" i="16" s="1"/>
  <c r="G87" i="16"/>
  <c r="E87" i="16"/>
  <c r="I86" i="16"/>
  <c r="G86" i="16"/>
  <c r="E86" i="16"/>
  <c r="I85" i="16"/>
  <c r="G85" i="16"/>
  <c r="E85" i="16"/>
  <c r="I69" i="16"/>
  <c r="I84" i="16" s="1"/>
  <c r="G69" i="16"/>
  <c r="G84" i="16" s="1"/>
  <c r="E69" i="16"/>
  <c r="E84" i="16" s="1"/>
  <c r="E45" i="16"/>
  <c r="I43" i="16"/>
  <c r="G43" i="16"/>
  <c r="E43" i="16"/>
  <c r="E42" i="16"/>
  <c r="E36" i="16"/>
  <c r="G36" i="16"/>
  <c r="G42" i="16"/>
  <c r="F11" i="16"/>
  <c r="E10" i="16"/>
  <c r="E40" i="16" s="1"/>
  <c r="E9" i="16"/>
  <c r="E110" i="16" s="1"/>
  <c r="E115" i="16" s="1"/>
  <c r="E117" i="16" s="1"/>
  <c r="G8" i="16"/>
  <c r="I5" i="16" s="1"/>
  <c r="G7" i="16"/>
  <c r="I4" i="16" s="1"/>
  <c r="F127" i="15"/>
  <c r="E127" i="15"/>
  <c r="F119" i="15"/>
  <c r="F116" i="15"/>
  <c r="E116" i="15"/>
  <c r="G109" i="15"/>
  <c r="F109" i="15"/>
  <c r="F113" i="15" s="1"/>
  <c r="E109" i="15"/>
  <c r="E113" i="15" s="1"/>
  <c r="I91" i="15"/>
  <c r="G91" i="15"/>
  <c r="E91" i="15"/>
  <c r="I89" i="15"/>
  <c r="G89" i="15"/>
  <c r="E89" i="15"/>
  <c r="I87" i="15"/>
  <c r="G87" i="15"/>
  <c r="E87" i="15"/>
  <c r="I86" i="15"/>
  <c r="G86" i="15"/>
  <c r="E86" i="15"/>
  <c r="I85" i="15"/>
  <c r="G85" i="15"/>
  <c r="E85" i="15"/>
  <c r="I69" i="15"/>
  <c r="I84" i="15" s="1"/>
  <c r="G69" i="15"/>
  <c r="G84" i="15" s="1"/>
  <c r="E69" i="15"/>
  <c r="E84" i="15" s="1"/>
  <c r="E45" i="15"/>
  <c r="I43" i="15"/>
  <c r="G43" i="15"/>
  <c r="E43" i="15"/>
  <c r="E42" i="15"/>
  <c r="E36" i="15"/>
  <c r="G23" i="15"/>
  <c r="I23" i="15" s="1"/>
  <c r="I36" i="15" s="1"/>
  <c r="G13" i="15"/>
  <c r="G42" i="15" s="1"/>
  <c r="E10" i="15"/>
  <c r="E40" i="15" s="1"/>
  <c r="E9" i="15"/>
  <c r="E119" i="15" s="1"/>
  <c r="G8" i="15"/>
  <c r="I5" i="15" s="1"/>
  <c r="G7" i="15"/>
  <c r="I4" i="15" s="1"/>
  <c r="I95" i="15" l="1"/>
  <c r="I8" i="16"/>
  <c r="G11" i="19"/>
  <c r="G41" i="19" s="1"/>
  <c r="I47" i="23"/>
  <c r="I48" i="23" s="1"/>
  <c r="I49" i="23" s="1"/>
  <c r="I50" i="23" s="1"/>
  <c r="I44" i="23"/>
  <c r="I52" i="23" s="1"/>
  <c r="E102" i="23"/>
  <c r="E100" i="23"/>
  <c r="E99" i="23" s="1"/>
  <c r="E95" i="16"/>
  <c r="E96" i="17"/>
  <c r="E95" i="15"/>
  <c r="G92" i="16"/>
  <c r="G95" i="16"/>
  <c r="I8" i="15"/>
  <c r="I95" i="16"/>
  <c r="I92" i="15"/>
  <c r="E92" i="16"/>
  <c r="E117" i="19"/>
  <c r="E118" i="19"/>
  <c r="E120" i="19" s="1"/>
  <c r="E117" i="18"/>
  <c r="E118" i="18"/>
  <c r="E120" i="18" s="1"/>
  <c r="E47" i="18" s="1"/>
  <c r="I3" i="18"/>
  <c r="G9" i="18"/>
  <c r="G11" i="18" s="1"/>
  <c r="G41" i="18" s="1"/>
  <c r="G10" i="18"/>
  <c r="G40" i="18" s="1"/>
  <c r="E118" i="17"/>
  <c r="E120" i="17" s="1"/>
  <c r="E53" i="17" s="1"/>
  <c r="E111" i="17"/>
  <c r="E114" i="17"/>
  <c r="F118" i="17"/>
  <c r="F120" i="17" s="1"/>
  <c r="G6" i="17" s="1"/>
  <c r="F117" i="17"/>
  <c r="E54" i="17"/>
  <c r="I7" i="16"/>
  <c r="E119" i="16"/>
  <c r="E11" i="16"/>
  <c r="E41" i="16" s="1"/>
  <c r="I23" i="16"/>
  <c r="I36" i="16" s="1"/>
  <c r="G45" i="16"/>
  <c r="I92" i="16"/>
  <c r="E90" i="16"/>
  <c r="G90" i="16"/>
  <c r="E118" i="16"/>
  <c r="E120" i="16" s="1"/>
  <c r="F114" i="16"/>
  <c r="I96" i="16"/>
  <c r="I13" i="16"/>
  <c r="E111" i="16"/>
  <c r="E114" i="16"/>
  <c r="F115" i="16"/>
  <c r="F111" i="16"/>
  <c r="E90" i="15"/>
  <c r="G36" i="15"/>
  <c r="I7" i="15"/>
  <c r="E11" i="15"/>
  <c r="E41" i="15" s="1"/>
  <c r="G95" i="15"/>
  <c r="F114" i="15"/>
  <c r="G90" i="15"/>
  <c r="G92" i="15"/>
  <c r="E92" i="15"/>
  <c r="E96" i="15" s="1"/>
  <c r="I90" i="15"/>
  <c r="F115" i="15"/>
  <c r="I13" i="15"/>
  <c r="G45" i="15"/>
  <c r="E110" i="15"/>
  <c r="F111" i="15"/>
  <c r="E36" i="11"/>
  <c r="I6" i="19" l="1"/>
  <c r="E44" i="19"/>
  <c r="E47" i="19"/>
  <c r="E47" i="16"/>
  <c r="E44" i="16"/>
  <c r="E53" i="16" s="1"/>
  <c r="E44" i="18"/>
  <c r="I53" i="23"/>
  <c r="F125" i="23"/>
  <c r="F129" i="23" s="1"/>
  <c r="D150" i="23" s="1"/>
  <c r="E140" i="23" s="1"/>
  <c r="F150" i="23" s="1"/>
  <c r="H153" i="23" s="1"/>
  <c r="I101" i="23"/>
  <c r="I100" i="23" s="1"/>
  <c r="I99" i="23" s="1"/>
  <c r="J49" i="23"/>
  <c r="I54" i="23"/>
  <c r="G96" i="16"/>
  <c r="I96" i="15"/>
  <c r="E48" i="17"/>
  <c r="E49" i="17" s="1"/>
  <c r="E125" i="17" s="1"/>
  <c r="E129" i="17" s="1"/>
  <c r="E52" i="17"/>
  <c r="G96" i="15"/>
  <c r="E96" i="16"/>
  <c r="I10" i="19"/>
  <c r="I40" i="19" s="1"/>
  <c r="I9" i="19"/>
  <c r="E48" i="19"/>
  <c r="E49" i="19" s="1"/>
  <c r="I6" i="18"/>
  <c r="I9" i="18" s="1"/>
  <c r="G47" i="18"/>
  <c r="G48" i="18" s="1"/>
  <c r="G49" i="18" s="1"/>
  <c r="E48" i="18"/>
  <c r="E49" i="18" s="1"/>
  <c r="G44" i="18"/>
  <c r="I3" i="17"/>
  <c r="I6" i="17" s="1"/>
  <c r="G9" i="17"/>
  <c r="G11" i="17" s="1"/>
  <c r="G41" i="17" s="1"/>
  <c r="G10" i="17"/>
  <c r="G40" i="17" s="1"/>
  <c r="G47" i="17"/>
  <c r="G48" i="17" s="1"/>
  <c r="G49" i="17" s="1"/>
  <c r="E54" i="16"/>
  <c r="E48" i="16"/>
  <c r="E49" i="16" s="1"/>
  <c r="E50" i="16" s="1"/>
  <c r="E52" i="16"/>
  <c r="F118" i="16"/>
  <c r="F120" i="16" s="1"/>
  <c r="G6" i="16" s="1"/>
  <c r="F117" i="16"/>
  <c r="I45" i="16"/>
  <c r="I42" i="16"/>
  <c r="E114" i="15"/>
  <c r="E111" i="15"/>
  <c r="E115" i="15"/>
  <c r="I45" i="15"/>
  <c r="I42" i="15"/>
  <c r="F118" i="15"/>
  <c r="F120" i="15" s="1"/>
  <c r="G6" i="15" s="1"/>
  <c r="F117" i="15"/>
  <c r="G8" i="11"/>
  <c r="G7" i="11"/>
  <c r="F11" i="11"/>
  <c r="G44" i="17" l="1"/>
  <c r="G165" i="23"/>
  <c r="H165" i="23" s="1"/>
  <c r="I102" i="23"/>
  <c r="A162" i="23"/>
  <c r="J160" i="23"/>
  <c r="H157" i="23"/>
  <c r="G166" i="23" s="1"/>
  <c r="H166" i="23" s="1"/>
  <c r="H155" i="23"/>
  <c r="J159" i="23"/>
  <c r="B150" i="17"/>
  <c r="I10" i="18"/>
  <c r="I40" i="18" s="1"/>
  <c r="E50" i="17"/>
  <c r="E101" i="17"/>
  <c r="E100" i="17" s="1"/>
  <c r="E99" i="17" s="1"/>
  <c r="E125" i="19"/>
  <c r="E129" i="19" s="1"/>
  <c r="E50" i="19"/>
  <c r="B150" i="19"/>
  <c r="E101" i="19"/>
  <c r="I11" i="19"/>
  <c r="I41" i="19" s="1"/>
  <c r="E53" i="19"/>
  <c r="E54" i="19"/>
  <c r="E52" i="19"/>
  <c r="I44" i="18"/>
  <c r="I52" i="18" s="1"/>
  <c r="I11" i="18"/>
  <c r="I41" i="18" s="1"/>
  <c r="I47" i="18"/>
  <c r="I48" i="18" s="1"/>
  <c r="I49" i="18" s="1"/>
  <c r="F125" i="18" s="1"/>
  <c r="F129" i="18" s="1"/>
  <c r="D150" i="18" s="1"/>
  <c r="B150" i="18"/>
  <c r="E125" i="18"/>
  <c r="E129" i="18" s="1"/>
  <c r="E50" i="18"/>
  <c r="E101" i="18"/>
  <c r="E53" i="18"/>
  <c r="E54" i="18"/>
  <c r="E52" i="18"/>
  <c r="G101" i="18"/>
  <c r="G50" i="18"/>
  <c r="I53" i="18"/>
  <c r="I54" i="18"/>
  <c r="G53" i="18"/>
  <c r="G54" i="18"/>
  <c r="G52" i="18"/>
  <c r="I9" i="17"/>
  <c r="I11" i="17" s="1"/>
  <c r="I41" i="17" s="1"/>
  <c r="I10" i="17"/>
  <c r="I40" i="17" s="1"/>
  <c r="G53" i="17"/>
  <c r="G52" i="17"/>
  <c r="G54" i="17"/>
  <c r="G101" i="17"/>
  <c r="G50" i="17"/>
  <c r="E125" i="16"/>
  <c r="E129" i="16" s="1"/>
  <c r="E101" i="16"/>
  <c r="E102" i="16" s="1"/>
  <c r="B150" i="16"/>
  <c r="G10" i="16"/>
  <c r="G40" i="16" s="1"/>
  <c r="I3" i="16"/>
  <c r="I6" i="16" s="1"/>
  <c r="G9" i="16"/>
  <c r="G11" i="16" s="1"/>
  <c r="G41" i="16" s="1"/>
  <c r="G10" i="15"/>
  <c r="G40" i="15" s="1"/>
  <c r="I3" i="15"/>
  <c r="G9" i="15"/>
  <c r="G11" i="15" s="1"/>
  <c r="G41" i="15" s="1"/>
  <c r="E118" i="15"/>
  <c r="E120" i="15" s="1"/>
  <c r="E117" i="15"/>
  <c r="I5" i="11"/>
  <c r="I4" i="11"/>
  <c r="F119" i="11"/>
  <c r="E44" i="15" l="1"/>
  <c r="E47" i="15"/>
  <c r="G168" i="23"/>
  <c r="H168" i="23" s="1"/>
  <c r="G169" i="23"/>
  <c r="H169" i="23" s="1"/>
  <c r="I47" i="17"/>
  <c r="I48" i="17" s="1"/>
  <c r="I49" i="17" s="1"/>
  <c r="J49" i="17" s="1"/>
  <c r="E102" i="17"/>
  <c r="E102" i="19"/>
  <c r="E100" i="19"/>
  <c r="E99" i="19" s="1"/>
  <c r="E140" i="18"/>
  <c r="A162" i="18" s="1"/>
  <c r="I101" i="18"/>
  <c r="I102" i="18" s="1"/>
  <c r="I50" i="18"/>
  <c r="J49" i="18"/>
  <c r="E102" i="18"/>
  <c r="E100" i="18"/>
  <c r="E99" i="18" s="1"/>
  <c r="G102" i="18"/>
  <c r="G100" i="18"/>
  <c r="G99" i="18" s="1"/>
  <c r="I44" i="17"/>
  <c r="I54" i="17" s="1"/>
  <c r="I50" i="17"/>
  <c r="G102" i="17"/>
  <c r="G100" i="17"/>
  <c r="G99" i="17" s="1"/>
  <c r="I53" i="17"/>
  <c r="E100" i="16"/>
  <c r="E99" i="16" s="1"/>
  <c r="I9" i="16"/>
  <c r="I11" i="16" s="1"/>
  <c r="I41" i="16" s="1"/>
  <c r="I10" i="16"/>
  <c r="I40" i="16" s="1"/>
  <c r="G44" i="16"/>
  <c r="G47" i="16"/>
  <c r="G48" i="16" s="1"/>
  <c r="G49" i="16" s="1"/>
  <c r="G44" i="15"/>
  <c r="G53" i="15" s="1"/>
  <c r="G47" i="15"/>
  <c r="G48" i="15" s="1"/>
  <c r="G49" i="15" s="1"/>
  <c r="G101" i="15" s="1"/>
  <c r="I6" i="15"/>
  <c r="E48" i="15"/>
  <c r="E49" i="15" s="1"/>
  <c r="G23" i="11"/>
  <c r="I23" i="11" s="1"/>
  <c r="I36" i="11" s="1"/>
  <c r="G45" i="11"/>
  <c r="F116" i="11"/>
  <c r="F110" i="11"/>
  <c r="F115" i="11" s="1"/>
  <c r="E116" i="11"/>
  <c r="F127" i="11"/>
  <c r="G109" i="11"/>
  <c r="F109" i="11"/>
  <c r="F113" i="11" s="1"/>
  <c r="E127" i="11"/>
  <c r="E109" i="11"/>
  <c r="E113" i="11" s="1"/>
  <c r="E9" i="11"/>
  <c r="E10" i="11"/>
  <c r="E40" i="11" s="1"/>
  <c r="E42" i="11"/>
  <c r="E43" i="11"/>
  <c r="G43" i="11"/>
  <c r="I43" i="11"/>
  <c r="E45" i="11"/>
  <c r="E69" i="11"/>
  <c r="E84" i="11" s="1"/>
  <c r="G69" i="11"/>
  <c r="G84" i="11" s="1"/>
  <c r="I69" i="11"/>
  <c r="I84" i="11" s="1"/>
  <c r="E85" i="11"/>
  <c r="G85" i="11"/>
  <c r="I85" i="11"/>
  <c r="E86" i="11"/>
  <c r="G86" i="11"/>
  <c r="I86" i="11"/>
  <c r="E87" i="11"/>
  <c r="G87" i="11"/>
  <c r="I87" i="11"/>
  <c r="E89" i="11"/>
  <c r="G89" i="11"/>
  <c r="I89" i="11"/>
  <c r="E91" i="11"/>
  <c r="G91" i="11"/>
  <c r="I91" i="11"/>
  <c r="I8" i="11"/>
  <c r="I52" i="17" l="1"/>
  <c r="I101" i="17"/>
  <c r="I90" i="11"/>
  <c r="F125" i="17"/>
  <c r="F129" i="17" s="1"/>
  <c r="D150" i="17" s="1"/>
  <c r="E140" i="17" s="1"/>
  <c r="J159" i="17" s="1"/>
  <c r="I95" i="11"/>
  <c r="G42" i="11"/>
  <c r="I92" i="11"/>
  <c r="I96" i="11" s="1"/>
  <c r="G90" i="11"/>
  <c r="G96" i="11" s="1"/>
  <c r="G92" i="11"/>
  <c r="I44" i="16"/>
  <c r="I53" i="16" s="1"/>
  <c r="G54" i="15"/>
  <c r="G52" i="15"/>
  <c r="E90" i="11"/>
  <c r="I100" i="18"/>
  <c r="I99" i="18" s="1"/>
  <c r="F150" i="18"/>
  <c r="H153" i="18" s="1"/>
  <c r="G165" i="18"/>
  <c r="H165" i="18" s="1"/>
  <c r="J160" i="18"/>
  <c r="J159" i="18"/>
  <c r="H155" i="18"/>
  <c r="H157" i="18"/>
  <c r="G166" i="18" s="1"/>
  <c r="H166" i="18" s="1"/>
  <c r="I102" i="17"/>
  <c r="I100" i="17"/>
  <c r="I99" i="17" s="1"/>
  <c r="A162" i="17"/>
  <c r="G165" i="17"/>
  <c r="H165" i="17" s="1"/>
  <c r="H157" i="17"/>
  <c r="G166" i="17" s="1"/>
  <c r="H166" i="17" s="1"/>
  <c r="I47" i="16"/>
  <c r="I48" i="16" s="1"/>
  <c r="I49" i="16" s="1"/>
  <c r="J49" i="16" s="1"/>
  <c r="G50" i="16"/>
  <c r="G101" i="16"/>
  <c r="G53" i="16"/>
  <c r="G52" i="16"/>
  <c r="G54" i="16"/>
  <c r="I52" i="16"/>
  <c r="G50" i="15"/>
  <c r="B150" i="15"/>
  <c r="E101" i="15"/>
  <c r="E125" i="15"/>
  <c r="E129" i="15" s="1"/>
  <c r="E50" i="15"/>
  <c r="I10" i="15"/>
  <c r="I40" i="15" s="1"/>
  <c r="I9" i="15"/>
  <c r="I11" i="15" s="1"/>
  <c r="I41" i="15" s="1"/>
  <c r="G102" i="15"/>
  <c r="G100" i="15"/>
  <c r="G99" i="15" s="1"/>
  <c r="E53" i="15"/>
  <c r="E52" i="15"/>
  <c r="E54" i="15"/>
  <c r="E95" i="11"/>
  <c r="E92" i="11"/>
  <c r="I13" i="11"/>
  <c r="G95" i="11"/>
  <c r="F117" i="11"/>
  <c r="F118" i="11"/>
  <c r="F120" i="11" s="1"/>
  <c r="G6" i="11" s="1"/>
  <c r="E110" i="11"/>
  <c r="E114" i="11" s="1"/>
  <c r="E119" i="11"/>
  <c r="F114" i="11"/>
  <c r="G36" i="11"/>
  <c r="E11" i="11"/>
  <c r="E41" i="11" s="1"/>
  <c r="I7" i="11"/>
  <c r="F111" i="11"/>
  <c r="H155" i="17" l="1"/>
  <c r="G168" i="18"/>
  <c r="J160" i="17"/>
  <c r="F150" i="17"/>
  <c r="H153" i="17" s="1"/>
  <c r="I54" i="16"/>
  <c r="E96" i="11"/>
  <c r="G169" i="18"/>
  <c r="H169" i="18" s="1"/>
  <c r="H168" i="18"/>
  <c r="G169" i="17"/>
  <c r="H169" i="17" s="1"/>
  <c r="G168" i="17"/>
  <c r="H168" i="17" s="1"/>
  <c r="I44" i="15"/>
  <c r="I53" i="15" s="1"/>
  <c r="I101" i="16"/>
  <c r="I102" i="16" s="1"/>
  <c r="F125" i="16"/>
  <c r="F129" i="16" s="1"/>
  <c r="D150" i="16" s="1"/>
  <c r="E140" i="16" s="1"/>
  <c r="J160" i="16" s="1"/>
  <c r="I50" i="16"/>
  <c r="G102" i="16"/>
  <c r="G100" i="16"/>
  <c r="G99" i="16" s="1"/>
  <c r="E102" i="15"/>
  <c r="E100" i="15"/>
  <c r="E99" i="15" s="1"/>
  <c r="I47" i="15"/>
  <c r="I48" i="15" s="1"/>
  <c r="I49" i="15" s="1"/>
  <c r="E115" i="11"/>
  <c r="E117" i="11" s="1"/>
  <c r="E111" i="11"/>
  <c r="I42" i="11"/>
  <c r="I45" i="11"/>
  <c r="I3" i="11"/>
  <c r="G10" i="11"/>
  <c r="G40" i="11" s="1"/>
  <c r="G9" i="11"/>
  <c r="G11" i="11" s="1"/>
  <c r="G41" i="11" s="1"/>
  <c r="G44" i="11" l="1"/>
  <c r="G52" i="11" s="1"/>
  <c r="G47" i="11"/>
  <c r="G48" i="11" s="1"/>
  <c r="G49" i="11" s="1"/>
  <c r="G50" i="11" s="1"/>
  <c r="I52" i="15"/>
  <c r="I54" i="15"/>
  <c r="E118" i="11"/>
  <c r="E120" i="11" s="1"/>
  <c r="I100" i="16"/>
  <c r="I99" i="16" s="1"/>
  <c r="J159" i="16"/>
  <c r="F150" i="16"/>
  <c r="H153" i="16" s="1"/>
  <c r="H155" i="16"/>
  <c r="G165" i="16"/>
  <c r="H165" i="16" s="1"/>
  <c r="H157" i="16"/>
  <c r="G166" i="16" s="1"/>
  <c r="H166" i="16" s="1"/>
  <c r="A162" i="16"/>
  <c r="J49" i="15"/>
  <c r="I50" i="15"/>
  <c r="F125" i="15"/>
  <c r="F129" i="15" s="1"/>
  <c r="D150" i="15" s="1"/>
  <c r="E140" i="15" s="1"/>
  <c r="I101" i="15"/>
  <c r="G101" i="11"/>
  <c r="G54" i="11"/>
  <c r="G53" i="11" l="1"/>
  <c r="I6" i="11"/>
  <c r="I10" i="11" s="1"/>
  <c r="I40" i="11" s="1"/>
  <c r="E44" i="11"/>
  <c r="E53" i="11" s="1"/>
  <c r="E47" i="11"/>
  <c r="E48" i="11" s="1"/>
  <c r="E49" i="11" s="1"/>
  <c r="B150" i="11" s="1"/>
  <c r="G169" i="16"/>
  <c r="H169" i="16" s="1"/>
  <c r="G168" i="16"/>
  <c r="H168" i="16" s="1"/>
  <c r="I102" i="15"/>
  <c r="I100" i="15"/>
  <c r="I99" i="15" s="1"/>
  <c r="A162" i="15"/>
  <c r="H155" i="15"/>
  <c r="J159" i="15"/>
  <c r="G165" i="15"/>
  <c r="H165" i="15" s="1"/>
  <c r="H157" i="15"/>
  <c r="G166" i="15" s="1"/>
  <c r="H166" i="15" s="1"/>
  <c r="J160" i="15"/>
  <c r="F150" i="15"/>
  <c r="H153" i="15" s="1"/>
  <c r="E52" i="11"/>
  <c r="G102" i="11"/>
  <c r="G100" i="11"/>
  <c r="G99" i="11" s="1"/>
  <c r="I9" i="11" l="1"/>
  <c r="I11" i="11" s="1"/>
  <c r="I41" i="11" s="1"/>
  <c r="E101" i="11"/>
  <c r="E100" i="11" s="1"/>
  <c r="E99" i="11" s="1"/>
  <c r="E50" i="11"/>
  <c r="E125" i="11"/>
  <c r="E129" i="11" s="1"/>
  <c r="I47" i="11"/>
  <c r="I48" i="11" s="1"/>
  <c r="I49" i="11" s="1"/>
  <c r="J49" i="11" s="1"/>
  <c r="E54" i="11"/>
  <c r="I44" i="11"/>
  <c r="I52" i="11" s="1"/>
  <c r="G168" i="15"/>
  <c r="H168" i="15" s="1"/>
  <c r="G169" i="15"/>
  <c r="H169" i="15" s="1"/>
  <c r="E102" i="11"/>
  <c r="I54" i="11" l="1"/>
  <c r="I53" i="11"/>
  <c r="I101" i="11"/>
  <c r="I102" i="11" s="1"/>
  <c r="I50" i="11"/>
  <c r="F125" i="11"/>
  <c r="F129" i="11" s="1"/>
  <c r="D150" i="11" s="1"/>
  <c r="E140" i="11" s="1"/>
  <c r="F150" i="11" s="1"/>
  <c r="I100" i="11" l="1"/>
  <c r="I99" i="11" s="1"/>
  <c r="A162" i="11"/>
  <c r="J160" i="11"/>
  <c r="H157" i="11"/>
  <c r="G166" i="11" s="1"/>
  <c r="G169" i="11" s="1"/>
  <c r="H169" i="11" s="1"/>
  <c r="H155" i="11"/>
  <c r="J159" i="11"/>
  <c r="G165" i="11"/>
  <c r="G168" i="11" s="1"/>
  <c r="H168" i="11" s="1"/>
  <c r="H153" i="11"/>
  <c r="H165" i="11" l="1"/>
  <c r="H166" i="11"/>
  <c r="G36" i="19" l="1"/>
  <c r="G44" i="19" s="1"/>
  <c r="I23" i="19"/>
  <c r="I36" i="19" s="1"/>
  <c r="G54" i="19" l="1"/>
  <c r="G53" i="19"/>
  <c r="G52" i="19"/>
  <c r="I47" i="19"/>
  <c r="I48" i="19" s="1"/>
  <c r="I49" i="19" s="1"/>
  <c r="I44" i="19"/>
  <c r="G47" i="19"/>
  <c r="G48" i="19" s="1"/>
  <c r="G49" i="19" s="1"/>
  <c r="I50" i="19" l="1"/>
  <c r="I101" i="19"/>
  <c r="J49" i="19"/>
  <c r="F125" i="19"/>
  <c r="F129" i="19" s="1"/>
  <c r="D150" i="19" s="1"/>
  <c r="E140" i="19" s="1"/>
  <c r="G50" i="19"/>
  <c r="G101" i="19"/>
  <c r="I52" i="19"/>
  <c r="I54" i="19"/>
  <c r="I53" i="19"/>
  <c r="G102" i="19" l="1"/>
  <c r="G100" i="19"/>
  <c r="G99" i="19" s="1"/>
  <c r="I102" i="19"/>
  <c r="I100" i="19"/>
  <c r="I99" i="19" s="1"/>
  <c r="H155" i="19"/>
  <c r="J160" i="19"/>
  <c r="H157" i="19"/>
  <c r="G166" i="19" s="1"/>
  <c r="H166" i="19" s="1"/>
  <c r="J159" i="19"/>
  <c r="F150" i="19"/>
  <c r="H153" i="19" s="1"/>
  <c r="A162" i="19"/>
  <c r="G165" i="19"/>
  <c r="H165" i="19" s="1"/>
  <c r="G168" i="19" l="1"/>
  <c r="H168" i="19" s="1"/>
  <c r="G169" i="19"/>
  <c r="H169" i="19" s="1"/>
  <c r="E116" i="31" l="1"/>
  <c r="E10" i="31"/>
  <c r="E40" i="31" s="1"/>
  <c r="E9" i="31"/>
  <c r="E110" i="31" s="1"/>
  <c r="I10" i="31"/>
  <c r="I40" i="31" s="1"/>
  <c r="E111" i="31" l="1"/>
  <c r="E114" i="31"/>
  <c r="E115" i="31"/>
  <c r="E117" i="31" s="1"/>
  <c r="E119" i="31"/>
  <c r="E11" i="31"/>
  <c r="I9" i="31"/>
  <c r="I44" i="31" s="1"/>
  <c r="E41" i="31" l="1"/>
  <c r="E4" i="31"/>
  <c r="E118" i="31"/>
  <c r="E120" i="31" s="1"/>
  <c r="E44" i="31" s="1"/>
  <c r="I52" i="31"/>
  <c r="I53" i="31"/>
  <c r="I54" i="31"/>
  <c r="I47" i="31"/>
  <c r="I48" i="31" s="1"/>
  <c r="I49" i="31" s="1"/>
  <c r="I11" i="31"/>
  <c r="I41" i="31" s="1"/>
  <c r="E47" i="31" l="1"/>
  <c r="E48" i="31" s="1"/>
  <c r="E49" i="31" s="1"/>
  <c r="J49" i="31" s="1"/>
  <c r="D3" i="31"/>
  <c r="E53" i="31"/>
  <c r="E54" i="31"/>
  <c r="E52" i="31"/>
  <c r="F125" i="31"/>
  <c r="I101" i="31"/>
  <c r="I50" i="31"/>
  <c r="F129" i="31"/>
  <c r="D150" i="31" s="1"/>
  <c r="E50" i="31" l="1"/>
  <c r="B150" i="31"/>
  <c r="E125" i="31"/>
  <c r="E129" i="31"/>
  <c r="E101" i="31"/>
  <c r="E100" i="31" s="1"/>
  <c r="E99" i="31" s="1"/>
  <c r="E140" i="31"/>
  <c r="I102" i="31"/>
  <c r="I100" i="31"/>
  <c r="I99" i="31" s="1"/>
  <c r="I155" i="31" l="1"/>
  <c r="I165" i="31"/>
  <c r="I168" i="31" s="1"/>
  <c r="J160" i="31"/>
  <c r="I157" i="31"/>
  <c r="I166" i="31" s="1"/>
  <c r="I169" i="31" s="1"/>
  <c r="A162" i="31"/>
  <c r="J159" i="31"/>
  <c r="F150" i="31"/>
  <c r="I153" i="31" s="1"/>
  <c r="E102" i="31"/>
  <c r="J165" i="31" l="1"/>
  <c r="J166" i="31"/>
  <c r="J169" i="31"/>
  <c r="J168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Olinga Taeed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Olinga Taeed:</t>
        </r>
        <r>
          <rPr>
            <sz val="9"/>
            <color indexed="81"/>
            <rFont val="Tahoma"/>
            <family val="2"/>
          </rPr>
          <t xml:space="preserve">
To do Sentiment Analysis on www.socialmention.com use quotations "__" if the organisation name or brand is more than one word </t>
        </r>
      </text>
    </comment>
    <comment ref="B2" authorId="0" shapeId="0" xr:uid="{00000000-0006-0000-0000-000002000000}">
      <text>
        <r>
          <rPr>
            <sz val="9"/>
            <color indexed="81"/>
            <rFont val="Tahoma"/>
            <family val="2"/>
          </rPr>
          <t>Date www.socialmention.com completed (must be a Sunday)</t>
        </r>
      </text>
    </comment>
    <comment ref="B6" authorId="0" shapeId="0" xr:uid="{00000000-0006-0000-0000-000003000000}">
      <text>
        <r>
          <rPr>
            <sz val="9"/>
            <color indexed="81"/>
            <rFont val="Tahoma"/>
            <family val="2"/>
          </rPr>
          <t>Result from www.socialmention.com</t>
        </r>
      </text>
    </comment>
    <comment ref="B7" authorId="0" shapeId="0" xr:uid="{00000000-0006-0000-0000-000004000000}">
      <text>
        <r>
          <rPr>
            <sz val="9"/>
            <color indexed="81"/>
            <rFont val="Tahoma"/>
            <family val="2"/>
          </rPr>
          <t>Result from www.socialmention.com</t>
        </r>
      </text>
    </comment>
    <comment ref="B8" authorId="0" shapeId="0" xr:uid="{00000000-0006-0000-0000-000005000000}">
      <text>
        <r>
          <rPr>
            <sz val="9"/>
            <color indexed="81"/>
            <rFont val="Tahoma"/>
            <family val="2"/>
          </rPr>
          <t>Result from www.socialmention.com</t>
        </r>
      </text>
    </comment>
    <comment ref="B9" authorId="0" shapeId="0" xr:uid="{00000000-0006-0000-0000-000006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B10" authorId="0" shapeId="0" xr:uid="{00000000-0006-0000-0000-000007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B11" authorId="0" shapeId="0" xr:uid="{00000000-0006-0000-0000-000008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B13" authorId="0" shapeId="0" xr:uid="{00000000-0006-0000-0000-000009000000}">
      <text>
        <r>
          <rPr>
            <sz val="9"/>
            <color indexed="81"/>
            <rFont val="Tahoma"/>
            <family val="2"/>
          </rPr>
          <t>CSR (corporate social responsibility) spend by the organisation</t>
        </r>
      </text>
    </comment>
    <comment ref="B14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Leave as 0 </t>
        </r>
      </text>
    </comment>
    <comment ref="B15" authorId="0" shapeId="0" xr:uid="{00000000-0006-0000-0000-00000B000000}">
      <text>
        <r>
          <rPr>
            <sz val="9"/>
            <color indexed="81"/>
            <rFont val="Tahoma"/>
            <family val="2"/>
          </rPr>
          <t>Number of shares</t>
        </r>
      </text>
    </comment>
    <comment ref="B16" authorId="0" shapeId="0" xr:uid="{00000000-0006-0000-0000-00000C000000}">
      <text>
        <r>
          <rPr>
            <sz val="9"/>
            <color indexed="81"/>
            <rFont val="Tahoma"/>
            <family val="2"/>
          </rPr>
          <t>Capitalisation of the company (if quoted on stock market) or Net Asset Value (if not quoted)</t>
        </r>
      </text>
    </comment>
    <comment ref="B17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Number of staff
</t>
        </r>
      </text>
    </comment>
    <comment ref="B18" authorId="0" shapeId="0" xr:uid="{00000000-0006-0000-0000-00000E000000}">
      <text>
        <r>
          <rPr>
            <sz val="9"/>
            <color indexed="81"/>
            <rFont val="Tahoma"/>
            <family val="2"/>
          </rPr>
          <t>Carbon reduction in the past 12 months</t>
        </r>
      </text>
    </comment>
    <comment ref="B19" authorId="0" shapeId="0" xr:uid="{00000000-0006-0000-0000-00000F000000}">
      <text>
        <r>
          <rPr>
            <sz val="9"/>
            <color indexed="81"/>
            <rFont val="Tahoma"/>
            <family val="2"/>
          </rPr>
          <t>Carbon offset in last 12 months</t>
        </r>
      </text>
    </comment>
    <comment ref="B20" authorId="0" shapeId="0" xr:uid="{00000000-0006-0000-0000-000010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23" authorId="0" shapeId="0" xr:uid="{00000000-0006-0000-0000-000011000000}">
      <text>
        <r>
          <rPr>
            <sz val="9"/>
            <color indexed="81"/>
            <rFont val="Tahoma"/>
            <family val="2"/>
          </rPr>
          <t>List number of people in each project affected by the organisation, also make note of each project for reference</t>
        </r>
      </text>
    </comment>
    <comment ref="A38" authorId="0" shapeId="0" xr:uid="{00000000-0006-0000-0000-000012000000}">
      <text>
        <r>
          <rPr>
            <sz val="9"/>
            <color indexed="81"/>
            <rFont val="Tahoma"/>
            <family val="2"/>
          </rPr>
          <t>Sometimes the organisation invests money and resources, which leverages other amounts of monies from other organisations (eg. matched funding. This is the extra money leveraged through other organisations</t>
        </r>
      </text>
    </comment>
    <comment ref="A40" authorId="0" shapeId="0" xr:uid="{00000000-0006-0000-0000-000013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1" authorId="0" shapeId="0" xr:uid="{00000000-0006-0000-0000-000014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2" authorId="0" shapeId="0" xr:uid="{00000000-0006-0000-0000-000015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3" authorId="0" shapeId="0" xr:uid="{00000000-0006-0000-0000-000016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4" authorId="0" shapeId="0" xr:uid="{00000000-0006-0000-0000-000017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Calculated
</t>
        </r>
      </text>
    </comment>
    <comment ref="A47" authorId="0" shapeId="0" xr:uid="{00000000-0006-0000-0000-000019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8" authorId="0" shapeId="0" xr:uid="{00000000-0006-0000-0000-00001A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49" authorId="0" shapeId="0" xr:uid="{00000000-0006-0000-0000-00001B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0" authorId="0" shapeId="0" xr:uid="{00000000-0006-0000-0000-00001C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2" authorId="0" shapeId="0" xr:uid="{00000000-0006-0000-0000-00001D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3" authorId="0" shapeId="0" xr:uid="{00000000-0006-0000-0000-00001E000000}">
      <text>
        <r>
          <rPr>
            <sz val="9"/>
            <color indexed="81"/>
            <rFont val="Tahoma"/>
            <family val="2"/>
          </rPr>
          <t>Calculated</t>
        </r>
      </text>
    </comment>
    <comment ref="A54" authorId="0" shapeId="0" xr:uid="{00000000-0006-0000-0000-00001F000000}">
      <text>
        <r>
          <rPr>
            <sz val="9"/>
            <color indexed="81"/>
            <rFont val="Tahoma"/>
            <family val="2"/>
          </rPr>
          <t>Calculated</t>
        </r>
      </text>
    </comment>
  </commentList>
</comments>
</file>

<file path=xl/sharedStrings.xml><?xml version="1.0" encoding="utf-8"?>
<sst xmlns="http://schemas.openxmlformats.org/spreadsheetml/2006/main" count="3572" uniqueCount="354">
  <si>
    <t>Sentiment</t>
  </si>
  <si>
    <t>Positive</t>
  </si>
  <si>
    <t>Neutral</t>
  </si>
  <si>
    <t>Negative</t>
  </si>
  <si>
    <t>CSR</t>
  </si>
  <si>
    <t>Shares</t>
  </si>
  <si>
    <t>People</t>
  </si>
  <si>
    <t>subtotal</t>
  </si>
  <si>
    <t>Total</t>
  </si>
  <si>
    <t>Pos/Total</t>
  </si>
  <si>
    <t>Money leveraged</t>
  </si>
  <si>
    <t>Staff</t>
  </si>
  <si>
    <t>Carbon reduction t</t>
  </si>
  <si>
    <r>
      <t>Capitalization/</t>
    </r>
    <r>
      <rPr>
        <b/>
        <sz val="11"/>
        <color indexed="10"/>
        <rFont val="Calibri"/>
        <family val="2"/>
      </rPr>
      <t>NAV</t>
    </r>
  </si>
  <si>
    <t>Increase in Market Cap/NAV</t>
  </si>
  <si>
    <t>#</t>
  </si>
  <si>
    <t>Ratio</t>
  </si>
  <si>
    <t>%</t>
  </si>
  <si>
    <t>£m</t>
  </si>
  <si>
    <t>#m</t>
  </si>
  <si>
    <t>tCO2e</t>
  </si>
  <si>
    <t>Value tCO2e</t>
  </si>
  <si>
    <t>£</t>
  </si>
  <si>
    <t>Reported</t>
  </si>
  <si>
    <t>SI by calculation</t>
  </si>
  <si>
    <t>Added Social Value</t>
  </si>
  <si>
    <t>Carbon offset</t>
  </si>
  <si>
    <t>nontraded</t>
  </si>
  <si>
    <t>traded</t>
  </si>
  <si>
    <t>SER</t>
  </si>
  <si>
    <t>Cash Generated+Invested</t>
  </si>
  <si>
    <t>CSR spend</t>
  </si>
  <si>
    <t>Environmental</t>
  </si>
  <si>
    <t>Positive Sentiment</t>
  </si>
  <si>
    <t>Date</t>
  </si>
  <si>
    <t>Deg of Separation</t>
  </si>
  <si>
    <t>Environment</t>
  </si>
  <si>
    <t>Cash</t>
  </si>
  <si>
    <t>Directors Salary (Executive)</t>
  </si>
  <si>
    <t>Directors Salary (Non-Executive)</t>
  </si>
  <si>
    <t xml:space="preserve">Staff Salary </t>
  </si>
  <si>
    <t>Staff Salary (without directors)</t>
  </si>
  <si>
    <t>Tax charge</t>
  </si>
  <si>
    <t xml:space="preserve">Board </t>
  </si>
  <si>
    <t>Number of staff</t>
  </si>
  <si>
    <t>CURRENT YEAR</t>
  </si>
  <si>
    <t>PRIOR YEAR</t>
  </si>
  <si>
    <t>SER post tax/pay (ptp)</t>
  </si>
  <si>
    <t>SI by calculation ptp- UK£m</t>
  </si>
  <si>
    <t>Added Social Value ptp UK£m</t>
  </si>
  <si>
    <t>Increase in Market Cap/NAV ptp %</t>
  </si>
  <si>
    <t>Staff Pay/No. of Employees</t>
  </si>
  <si>
    <t xml:space="preserve">Staff Pay/No. of Employees Prior Year </t>
  </si>
  <si>
    <t>Board Pay/Board Members</t>
  </si>
  <si>
    <t xml:space="preserve">Board Pay/Board Members Prior Year </t>
  </si>
  <si>
    <t>FVs% Dividend Payment Change Shareholder</t>
  </si>
  <si>
    <t>FVb2% Board Salary Change (incl board no.)</t>
  </si>
  <si>
    <t>SVt% Tax Change</t>
  </si>
  <si>
    <t>SVp2% Staff Salary Change (incl staff no)</t>
  </si>
  <si>
    <t>Non-Executive Board</t>
  </si>
  <si>
    <t>Executive Board</t>
  </si>
  <si>
    <t>Board Total</t>
  </si>
  <si>
    <t>Non Executive Board</t>
  </si>
  <si>
    <t>Tax Avoidance</t>
  </si>
  <si>
    <t>Pay Disparity</t>
  </si>
  <si>
    <t>SER POST TAX/PAY (ptp)</t>
  </si>
  <si>
    <t>People supported per social project</t>
  </si>
  <si>
    <t>Total Shareholder Pay (Dividend)  (cash)</t>
  </si>
  <si>
    <t>Total Shareholder Pay (Dividend) (cash)</t>
  </si>
  <si>
    <t>Popularity</t>
  </si>
  <si>
    <t>Pos/Neg</t>
  </si>
  <si>
    <t>INCLUDING TAX AVOIDANCE &amp; PAY DISPARITY</t>
  </si>
  <si>
    <t>01.07.17</t>
  </si>
  <si>
    <t>NEW +</t>
  </si>
  <si>
    <t>NEW -</t>
  </si>
  <si>
    <t>NEW N</t>
  </si>
  <si>
    <t xml:space="preserve">ADJUSTMENT FOR SENTIMENT SAMPLE SIZE </t>
  </si>
  <si>
    <t>ADDITIONAL INFORMATION</t>
  </si>
  <si>
    <t>Margin of Error on Sentiment Feedback</t>
  </si>
  <si>
    <t>Critical Sentiment Sample Size</t>
  </si>
  <si>
    <t>Sample Size for Sentiment Analysis</t>
  </si>
  <si>
    <t>Do You Need to Consider Sentiment Sample Size?</t>
  </si>
  <si>
    <t>If No abandon</t>
  </si>
  <si>
    <t>Do You Know the Target Population Size?</t>
  </si>
  <si>
    <t>Reduced Critical Sentiment Sample</t>
  </si>
  <si>
    <t>Do You Still Need to Consider Sentiment Sample Size?</t>
  </si>
  <si>
    <t xml:space="preserve">If No abandon </t>
  </si>
  <si>
    <t>Margin of Error</t>
  </si>
  <si>
    <t>Previous Positive Sentiment Score</t>
  </si>
  <si>
    <t>Reduced Positive Sentiment Score</t>
  </si>
  <si>
    <t>Revised figure for E19</t>
  </si>
  <si>
    <t xml:space="preserve">ADJUSTMENT FOR HYPERLOCALITY </t>
  </si>
  <si>
    <t>Pre-Adjusted Added Social Value</t>
  </si>
  <si>
    <t>How important is Hyperlocality to Intervention?</t>
  </si>
  <si>
    <t>Is Hyperlocality Calculation Necessary?</t>
  </si>
  <si>
    <t>Distance between Intervention and Target Epicentre</t>
  </si>
  <si>
    <t>km</t>
  </si>
  <si>
    <t>Adjusted Added Social Value</t>
  </si>
  <si>
    <t>Years into contract</t>
  </si>
  <si>
    <t>Calculation in yellow</t>
  </si>
  <si>
    <t>Bid Value</t>
  </si>
  <si>
    <t>% Target</t>
  </si>
  <si>
    <t>a.       We calculate the spreadsheet for the public sector organisation –</t>
  </si>
  <si>
    <t>% Minimum</t>
  </si>
  <si>
    <t>Total contract duration</t>
  </si>
  <si>
    <t>Interventions across all years</t>
  </si>
  <si>
    <t>UK£ m</t>
  </si>
  <si>
    <t>1st column (1)</t>
  </si>
  <si>
    <t>(the famous row 60)</t>
  </si>
  <si>
    <t>b.      We the have a 2nd column (2) where we ADD the interventions from</t>
  </si>
  <si>
    <t>The Columns I was referring to:</t>
  </si>
  <si>
    <t>the bidder which changes 1st column values. This has to be across the entire</t>
  </si>
  <si>
    <t>contract value ie. if it’s 5 years, then all interventions across the 5</t>
  </si>
  <si>
    <t>Column 1</t>
  </si>
  <si>
    <t>Column 2</t>
  </si>
  <si>
    <t>Column 3</t>
  </si>
  <si>
    <t>years (2).</t>
  </si>
  <si>
    <t xml:space="preserve">1 year </t>
  </si>
  <si>
    <t>All years</t>
  </si>
  <si>
    <t xml:space="preserve">Yearly </t>
  </si>
  <si>
    <t>Customer</t>
  </si>
  <si>
    <t>Customer+Supplier</t>
  </si>
  <si>
    <t>C+S</t>
  </si>
  <si>
    <t>c.       We need to make it a yearly figure so divide the outcomes results</t>
  </si>
  <si>
    <t>at (2) by months/years to get to a 12 month period – 3rd column (3) &gt;&gt;</t>
  </si>
  <si>
    <t>row 60</t>
  </si>
  <si>
    <t>ADDED SOCIAL VALUE</t>
  </si>
  <si>
    <t>ADDED SOCIAL VALUE FINANCIAL SUM</t>
  </si>
  <si>
    <t>UK£m</t>
  </si>
  <si>
    <t>SOCIAL VALUE AS % OF TARGET</t>
  </si>
  <si>
    <r>
      <t>Total social value created to date (</t>
    </r>
    <r>
      <rPr>
        <b/>
        <sz val="11"/>
        <color indexed="63"/>
        <rFont val="Arial"/>
        <family val="2"/>
      </rPr>
      <t>£</t>
    </r>
    <r>
      <rPr>
        <sz val="11"/>
        <color theme="1"/>
        <rFont val="Calibri"/>
        <family val="2"/>
        <scheme val="minor"/>
      </rPr>
      <t>) : add figures from initiative to the customer’s social value inputs. Calculate customer’s social value (a). calculate the new social value (b). calculate b-a</t>
    </r>
  </si>
  <si>
    <r>
      <t>social value forecast end of contract (</t>
    </r>
    <r>
      <rPr>
        <b/>
        <sz val="11"/>
        <color indexed="63"/>
        <rFont val="Arial"/>
        <family val="2"/>
      </rPr>
      <t>£</t>
    </r>
    <r>
      <rPr>
        <sz val="11"/>
        <color theme="1"/>
        <rFont val="Calibri"/>
        <family val="2"/>
        <scheme val="minor"/>
      </rPr>
      <t>)</t>
    </r>
  </si>
  <si>
    <t>Social value forecast end of contract as % of minimum</t>
  </si>
  <si>
    <t>Social value forecast end of contract as % of Target</t>
  </si>
  <si>
    <t>Result</t>
  </si>
  <si>
    <t>Supplier</t>
  </si>
  <si>
    <t>Internal calc</t>
  </si>
  <si>
    <t>Final Supplier values</t>
  </si>
  <si>
    <t>Contract value</t>
  </si>
  <si>
    <t>bidder</t>
  </si>
  <si>
    <t>supplier</t>
  </si>
  <si>
    <t>calculations use bid value</t>
  </si>
  <si>
    <t>calculations use contract value</t>
  </si>
  <si>
    <t>Approved calc</t>
  </si>
  <si>
    <t>corrected Formula</t>
  </si>
  <si>
    <t>Name of Initiative</t>
  </si>
  <si>
    <t>Current number of months into the contract(#)</t>
  </si>
  <si>
    <t>Cash(£)</t>
  </si>
  <si>
    <t>Cash - Upload section to supply information to verify the information entered[File Types: pdf, doc, xls](Max upload size: 10MB)(?)</t>
  </si>
  <si>
    <t>OR</t>
  </si>
  <si>
    <t>Cash - Enter a URL to supply information to verify the information entered(Format: http://www.yourdomain.com)(?)</t>
  </si>
  <si>
    <t>People(#)</t>
  </si>
  <si>
    <t>People - Upload section to supply information to verify the information entered[File Types: pdf, doc, xls](Max upload size: 10MB) (?)</t>
  </si>
  <si>
    <t>People - Enter a URL to supply information to verify the information entered(Format: http://www.yourdomain.com)(?)</t>
  </si>
  <si>
    <t>Environment(tCO2e)</t>
  </si>
  <si>
    <t>Environment - Upload section to supply information to verify the information entered[File Types: pdf, doc, xls](Max upload size: 10MB)(?)</t>
  </si>
  <si>
    <t>Environment - Enter a URL to supply information to verify the information entered(Format: http://www.yourdomain.com)(?)</t>
  </si>
  <si>
    <t>Distance between Intervention and Target Epicentre (km)?</t>
  </si>
  <si>
    <t>Hyperlocality - Upload section to supply information to verify the information entered[File Types: pdf, doc, xls](Max upload size: 10MB)(?)</t>
  </si>
  <si>
    <t>Hyperlocality - Enter a URL to supply information to verify the information entered(Format: http://www.yourdomain.com)(?)</t>
  </si>
  <si>
    <t>Sentiment(%)</t>
  </si>
  <si>
    <t>Target Population</t>
  </si>
  <si>
    <t>Sample Size</t>
  </si>
  <si>
    <t>Margin of errors (%)</t>
  </si>
  <si>
    <t>Sentiment - Upload section to supply information to verify the information entered[File Types: pdf, doc, xls](Max upload size: 10MB)(?)</t>
  </si>
  <si>
    <t>Sentiment - Enter a URL to supply information to verify the information entered(Format: http://www.yourdomain.com)(?)</t>
  </si>
  <si>
    <t>Other Information(?)</t>
  </si>
  <si>
    <r>
      <t>Other - Upload section to supply information to verify the information entered[File Types: pdf, doc, xls]</t>
    </r>
    <r>
      <rPr>
        <i/>
        <sz val="11"/>
        <color indexed="63"/>
        <rFont val="Arial"/>
        <family val="2"/>
      </rPr>
      <t>(Max upload size: 10MB)</t>
    </r>
  </si>
  <si>
    <r>
      <t>Other - Enter a URL to supply information to verify the information entered</t>
    </r>
    <r>
      <rPr>
        <i/>
        <sz val="11"/>
        <color indexed="63"/>
        <rFont val="Arial"/>
        <family val="2"/>
      </rPr>
      <t>(</t>
    </r>
    <r>
      <rPr>
        <b/>
        <i/>
        <sz val="11"/>
        <color indexed="63"/>
        <rFont val="Arial"/>
        <family val="2"/>
      </rPr>
      <t>Format:</t>
    </r>
    <r>
      <rPr>
        <i/>
        <sz val="11"/>
        <color indexed="63"/>
        <rFont val="Arial"/>
        <family val="2"/>
      </rPr>
      <t xml:space="preserve"> http://www.yourdomain.com)</t>
    </r>
  </si>
  <si>
    <t>Name of Customer (?)</t>
  </si>
  <si>
    <t>Name of Contract (?)</t>
  </si>
  <si>
    <t>Bid Value (£m) (?)</t>
  </si>
  <si>
    <t>Social Value Investment(£)(?)</t>
  </si>
  <si>
    <t>Initiative (?)</t>
  </si>
  <si>
    <t>Cost(£) (?)</t>
  </si>
  <si>
    <t>People(#) (?)</t>
  </si>
  <si>
    <t>Sentiment-Positive (#) (?)</t>
  </si>
  <si>
    <t>Neutral (#) (?)</t>
  </si>
  <si>
    <t>Sentiment-Negative (#) (?)</t>
  </si>
  <si>
    <t>Target Population (#)</t>
  </si>
  <si>
    <t>Environment(tCO2e) (?)</t>
  </si>
  <si>
    <t>Hyperlocality (Km) (?)</t>
  </si>
  <si>
    <t>New Pos/Total Sentiment</t>
  </si>
  <si>
    <t>Old Pos/Total Sentiment</t>
  </si>
  <si>
    <t>Social value created by intervention to date as a % of minimum</t>
  </si>
  <si>
    <t>Social value created to date by intervention as a % of target</t>
  </si>
  <si>
    <t>Capitalization/NAV</t>
  </si>
  <si>
    <t>Total social value created to date (£) : add figures from initiative to the customer’s social value inputs. Calculate customer’s social value (a). calculate the new social value (b). calculate b-a</t>
  </si>
  <si>
    <t>social value forecast end of contract (£)</t>
  </si>
  <si>
    <t>21.11.17</t>
  </si>
  <si>
    <t>28.06.15</t>
  </si>
  <si>
    <t>20.04.16</t>
  </si>
  <si>
    <t>````````</t>
  </si>
  <si>
    <t>References 2016 info</t>
  </si>
  <si>
    <t>Page</t>
  </si>
  <si>
    <t>Content</t>
  </si>
  <si>
    <t>Website/ E mail info</t>
  </si>
  <si>
    <t>Accessed</t>
  </si>
  <si>
    <t>Positive +</t>
  </si>
  <si>
    <t>SEN, Safestart and JC surveys from Pete Wilson peter.wilson@wmfs.net stored in WMFS folder on Joanne Evans Goggledrive</t>
  </si>
  <si>
    <t>21.06.17</t>
  </si>
  <si>
    <t>JC Survey results - people not answering the question leads to a neutral comment - doc sent by Pete Wilson and store on Joanne Evans Google drive in WMFS folder</t>
  </si>
  <si>
    <t>No negative comments provided</t>
  </si>
  <si>
    <t xml:space="preserve">Positive </t>
  </si>
  <si>
    <t>Angela.Johnson@wmfs.net - email 18.06.17</t>
  </si>
  <si>
    <t>19.06.17</t>
  </si>
  <si>
    <t xml:space="preserve">Carbon value methodology for UK policy </t>
  </si>
  <si>
    <t>https://www.gov.uk/government/publications/carbon-valuation-an-update-for-uk-policy-2011</t>
  </si>
  <si>
    <t>Impact</t>
  </si>
  <si>
    <t>Data sent through via email from Pete Wilson</t>
  </si>
  <si>
    <t xml:space="preserve">peter.wilson@wmfs.net </t>
  </si>
  <si>
    <t>26.05.16</t>
  </si>
  <si>
    <t>Activity</t>
  </si>
  <si>
    <t>Measure</t>
  </si>
  <si>
    <t>Factor</t>
  </si>
  <si>
    <t>Number</t>
  </si>
  <si>
    <t>People Engaged</t>
  </si>
  <si>
    <t>Safeside @ Eastside</t>
  </si>
  <si>
    <t>Junior Citizen</t>
  </si>
  <si>
    <t>Visitors</t>
  </si>
  <si>
    <t>SEN</t>
  </si>
  <si>
    <t>Safestart</t>
  </si>
  <si>
    <t>Lifeskills/Ngage</t>
  </si>
  <si>
    <t>YOYO</t>
  </si>
  <si>
    <t>Money Live</t>
  </si>
  <si>
    <t>Safeside @ Handsworth</t>
  </si>
  <si>
    <t>All Programmes</t>
  </si>
  <si>
    <t>Education</t>
  </si>
  <si>
    <t>People who help us</t>
  </si>
  <si>
    <t>Classes</t>
  </si>
  <si>
    <t>Great Fire of London</t>
  </si>
  <si>
    <t>Sparks</t>
  </si>
  <si>
    <t>road safety</t>
  </si>
  <si>
    <t>Yr 6 Arson</t>
  </si>
  <si>
    <t>Your Choice: Your safety</t>
  </si>
  <si>
    <t>Your Choice: Feel the heat</t>
  </si>
  <si>
    <t>Your Choice: Getting home</t>
  </si>
  <si>
    <t>Your Choice: On the road</t>
  </si>
  <si>
    <t>Gen Fire Safety</t>
  </si>
  <si>
    <t>How safe are you KS3</t>
  </si>
  <si>
    <t>Schools Safety Challenge</t>
  </si>
  <si>
    <t>WTWM</t>
  </si>
  <si>
    <t>Vols</t>
  </si>
  <si>
    <t>Delegates</t>
  </si>
  <si>
    <t>RCRT</t>
  </si>
  <si>
    <t>Ripple Effect</t>
  </si>
  <si>
    <t>Wheels and Skills</t>
  </si>
  <si>
    <t>Biker Down</t>
  </si>
  <si>
    <t>General Activity</t>
  </si>
  <si>
    <t>Youth</t>
  </si>
  <si>
    <t>Short Term 1-3 days</t>
  </si>
  <si>
    <t>Long Term 3+ days</t>
  </si>
  <si>
    <t>YFA/Fire Cadets</t>
  </si>
  <si>
    <t>FST Cases</t>
  </si>
  <si>
    <t>HSC</t>
  </si>
  <si>
    <t>Households</t>
  </si>
  <si>
    <t>Fire Safety</t>
  </si>
  <si>
    <t>Businesses Engaged</t>
  </si>
  <si>
    <t>Lines</t>
  </si>
  <si>
    <t>Money Leveraged</t>
  </si>
  <si>
    <t>138-232</t>
  </si>
  <si>
    <t>1.152279.58m</t>
  </si>
  <si>
    <t>Out turn analysis report from Mike Griffiths. Total on line 232 of report.</t>
  </si>
  <si>
    <t>Ref</t>
  </si>
  <si>
    <t>Page/Line</t>
  </si>
  <si>
    <t>Data</t>
  </si>
  <si>
    <t>Wedsite/email adress</t>
  </si>
  <si>
    <t>Current</t>
  </si>
  <si>
    <t>p.62</t>
  </si>
  <si>
    <t>WMFS fiancial accounts 2015-2016</t>
  </si>
  <si>
    <t>14.11.17</t>
  </si>
  <si>
    <t>p.64</t>
  </si>
  <si>
    <t>L87</t>
  </si>
  <si>
    <t>80.399152m</t>
  </si>
  <si>
    <t>WMFA Salary bill based on SAR from Mike Griffiths</t>
  </si>
  <si>
    <t>79.630733m</t>
  </si>
  <si>
    <t>Line 76 - Line 74 -Line 75</t>
  </si>
  <si>
    <t>p.6</t>
  </si>
  <si>
    <t xml:space="preserve">Angela.Johnson@wmfs.net </t>
  </si>
  <si>
    <t>Prior</t>
  </si>
  <si>
    <t>p.57</t>
  </si>
  <si>
    <t>0.691047m</t>
  </si>
  <si>
    <t>WMFS financial accounts 2014-2015</t>
  </si>
  <si>
    <t>p.59 of accounts</t>
  </si>
  <si>
    <t>0.247744m</t>
  </si>
  <si>
    <t>Members allowance scedudle 2014-2015 report and page 59 of Financial accounts</t>
  </si>
  <si>
    <t>L89</t>
  </si>
  <si>
    <t>82.341006m</t>
  </si>
  <si>
    <t>WMFS Salary based on SAR supplied by Mike Griffiths</t>
  </si>
  <si>
    <t>81.402215m</t>
  </si>
  <si>
    <t>p.5</t>
  </si>
  <si>
    <t>Page/line</t>
  </si>
  <si>
    <t>Social mention</t>
  </si>
  <si>
    <t>09.10.17</t>
  </si>
  <si>
    <t>Negative -</t>
  </si>
  <si>
    <t>Neutral N</t>
  </si>
  <si>
    <t>peter.wilson@wmfs.net email sent 6.02.18</t>
  </si>
  <si>
    <t>06.02.18</t>
  </si>
  <si>
    <t>p47</t>
  </si>
  <si>
    <t>13.71m</t>
  </si>
  <si>
    <t>WMFS financial accounts 2017</t>
  </si>
  <si>
    <t>3m people</t>
  </si>
  <si>
    <t>Statement-of-Accounts-2016-17.pdf</t>
  </si>
  <si>
    <t>18.07.17</t>
  </si>
  <si>
    <t>5445 </t>
  </si>
  <si>
    <t>Mike.Griffiths@wmfs.net 20.07.17</t>
  </si>
  <si>
    <t>People Supported</t>
  </si>
  <si>
    <t>2016/17</t>
  </si>
  <si>
    <t>IMPACT SENTIMENT</t>
  </si>
  <si>
    <t>Programme</t>
  </si>
  <si>
    <t>JC</t>
  </si>
  <si>
    <t>Pos</t>
  </si>
  <si>
    <t>Neg</t>
  </si>
  <si>
    <t>Nt</t>
  </si>
  <si>
    <t>Lifeskills</t>
  </si>
  <si>
    <t>Yoyo</t>
  </si>
  <si>
    <t>SEN carers</t>
  </si>
  <si>
    <t>Safe start</t>
  </si>
  <si>
    <t>NGAGE</t>
  </si>
  <si>
    <t>Young Driver</t>
  </si>
  <si>
    <t>Motorcyclists</t>
  </si>
  <si>
    <t>Pedestrians</t>
  </si>
  <si>
    <t>Cyclists</t>
  </si>
  <si>
    <t>Campaigns</t>
  </si>
  <si>
    <t>Safe and Well Visit</t>
  </si>
  <si>
    <t>total salary bill</t>
  </si>
  <si>
    <t>L402</t>
  </si>
  <si>
    <t>1.901939.80</t>
  </si>
  <si>
    <t xml:space="preserve">Authority out turn report from Mike Griffiths at WMFS </t>
  </si>
  <si>
    <t>Mike.Griffiths@wmfs.net  email received 25.07.17</t>
  </si>
  <si>
    <t>28.08.17</t>
  </si>
  <si>
    <t>Current Year</t>
  </si>
  <si>
    <t>WMFS financial accounts 2016-2017</t>
  </si>
  <si>
    <t>L96</t>
  </si>
  <si>
    <t>WMFS Salary Bill based on SAR from Mike Griffiths</t>
  </si>
  <si>
    <t>WMFS financial accounts 2016-2018</t>
  </si>
  <si>
    <t>Angela.Johnson@wmfs.net</t>
  </si>
  <si>
    <t>Prior Year</t>
  </si>
  <si>
    <t xml:space="preserve">Negative </t>
  </si>
  <si>
    <t xml:space="preserve">Neutral </t>
  </si>
  <si>
    <t>Total people impact</t>
  </si>
  <si>
    <t>Year end 31.03.15</t>
  </si>
  <si>
    <t>YE 31.03.14</t>
  </si>
  <si>
    <t>Calculation in Grey</t>
  </si>
  <si>
    <t>REASONABLE SENTIMENT?</t>
  </si>
  <si>
    <t>Intervention</t>
  </si>
  <si>
    <t xml:space="preserve">Social Earnings Ratio® </t>
  </si>
  <si>
    <t xml:space="preserve">S/E Ratio® </t>
  </si>
  <si>
    <t xml:space="preserve">Seraio® </t>
  </si>
  <si>
    <t>Trademarks are protected</t>
  </si>
  <si>
    <t>Attribution - Non-Commercial - No-Derivatives</t>
  </si>
  <si>
    <t>Contact</t>
  </si>
  <si>
    <t>info@cceg.org.uk</t>
  </si>
  <si>
    <t>S/E Ratio is protected by Creative Commons License CC BY-NC-ND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</si>
</sst>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0.0000"/>
    <numFmt numFmtId="168" formatCode="0.000%"/>
    <numFmt numFmtId="169" formatCode="_-* #,##0_-;\-* #,##0_-;_-* &quot;-&quot;??_-;_-@_-"/>
    <numFmt numFmtId="170" formatCode="_-* #,##0.000_-;\-* #,##0.000_-;_-* &quot;-&quot;??_-;_-@_-"/>
    <numFmt numFmtId="171" formatCode="0.00_ ;[Red]\-0.00\ "/>
    <numFmt numFmtId="172" formatCode="_-* #,##0.0000_-;\-* #,##0.0000_-;_-* &quot;-&quot;????_-;_-@_-"/>
    <numFmt numFmtId="173" formatCode="_-* #,##0.0000_-;\-* #,##0.0000_-;_-* &quot;-&quot;??_-;_-@_-"/>
    <numFmt numFmtId="174" formatCode="0.00000"/>
    <numFmt numFmtId="175" formatCode="d\.m\.yy;@"/>
    <numFmt numFmtId="176" formatCode="0.0000000000"/>
    <numFmt numFmtId="177" formatCode="_-* #,##0.00000_-;\-* #,##0.00000_-;_-* &quot;-&quot;??_-;_-@_-"/>
    <numFmt numFmtId="178" formatCode="_-* #,##0.0000000_-;\-* #,##0.0000000_-;_-* &quot;-&quot;??_-;_-@_-"/>
    <numFmt numFmtId="179" formatCode="0.000000%"/>
    <numFmt numFmtId="180" formatCode="0.0000000%"/>
    <numFmt numFmtId="181" formatCode="0.00000000%"/>
    <numFmt numFmtId="182" formatCode="_-* #,##0.000000_-;\-* #,##0.000000_-;_-* &quot;-&quot;??????_-;_-@_-"/>
    <numFmt numFmtId="183" formatCode="_-* #,##0.000000000_-;\-* #,##0.000000000_-;_-* &quot;-&quot;?????????_-;_-@_-"/>
    <numFmt numFmtId="184" formatCode="0.000000000"/>
    <numFmt numFmtId="185" formatCode="0.00000000"/>
    <numFmt numFmtId="186" formatCode="0.000000"/>
    <numFmt numFmtId="187" formatCode="_-* #,##0.000000_-;\-* #,##0.000000_-;_-* &quot;-&quot;??_-;_-@_-"/>
    <numFmt numFmtId="188" formatCode="0.0000%"/>
    <numFmt numFmtId="189" formatCode="0.0000000"/>
    <numFmt numFmtId="190" formatCode="_-* #,##0.0000_-;\-* #,##0.0000_-;_-* &quot;-&quot;?????????_-;_-@_-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b/>
      <sz val="11"/>
      <color indexed="63"/>
      <name val="Arial"/>
      <family val="2"/>
    </font>
    <font>
      <i/>
      <sz val="11"/>
      <color indexed="63"/>
      <name val="Arial"/>
      <family val="2"/>
    </font>
    <font>
      <b/>
      <i/>
      <sz val="11"/>
      <color indexed="6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23232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thick">
        <color rgb="FFC1C1C1"/>
      </top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medium">
        <color indexed="64"/>
      </right>
      <top/>
      <bottom style="double">
        <color rgb="FFFF0000"/>
      </bottom>
      <diagonal/>
    </border>
  </borders>
  <cellStyleXfs count="43">
    <xf numFmtId="0" fontId="0" fillId="0" borderId="0"/>
    <xf numFmtId="0" fontId="15" fillId="2" borderId="14" applyNumberFormat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8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Protection="0">
      <alignment vertical="top" wrapText="1"/>
    </xf>
    <xf numFmtId="0" fontId="19" fillId="0" borderId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13" fillId="0" borderId="8" xfId="2" applyNumberFormat="1" applyFont="1" applyFill="1" applyBorder="1"/>
    <xf numFmtId="0" fontId="13" fillId="0" borderId="0" xfId="2" applyNumberFormat="1" applyFont="1" applyBorder="1"/>
    <xf numFmtId="0" fontId="0" fillId="0" borderId="8" xfId="0" applyFont="1" applyBorder="1"/>
    <xf numFmtId="0" fontId="13" fillId="0" borderId="2" xfId="2" applyNumberFormat="1" applyFont="1" applyBorder="1"/>
    <xf numFmtId="0" fontId="14" fillId="3" borderId="9" xfId="0" applyFont="1" applyFill="1" applyBorder="1"/>
    <xf numFmtId="0" fontId="14" fillId="3" borderId="10" xfId="0" applyFont="1" applyFill="1" applyBorder="1"/>
    <xf numFmtId="0" fontId="16" fillId="3" borderId="1" xfId="0" applyFont="1" applyFill="1" applyBorder="1"/>
    <xf numFmtId="0" fontId="16" fillId="3" borderId="1" xfId="2" applyNumberFormat="1" applyFont="1" applyFill="1" applyBorder="1"/>
    <xf numFmtId="0" fontId="13" fillId="0" borderId="8" xfId="2" applyNumberFormat="1" applyFont="1" applyBorder="1"/>
    <xf numFmtId="0" fontId="0" fillId="0" borderId="5" xfId="0" quotePrefix="1" applyBorder="1"/>
    <xf numFmtId="0" fontId="0" fillId="0" borderId="9" xfId="0" applyBorder="1"/>
    <xf numFmtId="0" fontId="0" fillId="0" borderId="10" xfId="0" applyBorder="1"/>
    <xf numFmtId="0" fontId="20" fillId="0" borderId="0" xfId="0" applyFont="1" applyFill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20" fillId="4" borderId="0" xfId="0" applyFont="1" applyFill="1" applyBorder="1"/>
    <xf numFmtId="0" fontId="0" fillId="4" borderId="0" xfId="0" applyFill="1"/>
    <xf numFmtId="0" fontId="0" fillId="0" borderId="9" xfId="0" applyFont="1" applyFill="1" applyBorder="1"/>
    <xf numFmtId="0" fontId="0" fillId="0" borderId="3" xfId="0" applyFont="1" applyFill="1" applyBorder="1"/>
    <xf numFmtId="0" fontId="0" fillId="4" borderId="0" xfId="0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0" fillId="0" borderId="1" xfId="0" applyFill="1" applyBorder="1"/>
    <xf numFmtId="0" fontId="0" fillId="0" borderId="8" xfId="0" applyFill="1" applyBorder="1" applyAlignment="1">
      <alignment horizontal="left"/>
    </xf>
    <xf numFmtId="0" fontId="0" fillId="0" borderId="2" xfId="0" applyFill="1" applyBorder="1"/>
    <xf numFmtId="0" fontId="0" fillId="5" borderId="0" xfId="0" applyFill="1" applyBorder="1"/>
    <xf numFmtId="0" fontId="0" fillId="5" borderId="0" xfId="0" applyFill="1"/>
    <xf numFmtId="0" fontId="0" fillId="0" borderId="1" xfId="0" applyFont="1" applyFill="1" applyBorder="1"/>
    <xf numFmtId="0" fontId="0" fillId="0" borderId="8" xfId="0" applyFont="1" applyFill="1" applyBorder="1"/>
    <xf numFmtId="0" fontId="0" fillId="0" borderId="2" xfId="0" applyFont="1" applyFill="1" applyBorder="1"/>
    <xf numFmtId="0" fontId="0" fillId="4" borderId="9" xfId="0" applyFill="1" applyBorder="1"/>
    <xf numFmtId="0" fontId="0" fillId="4" borderId="3" xfId="0" applyFill="1" applyBorder="1"/>
    <xf numFmtId="0" fontId="17" fillId="0" borderId="0" xfId="20"/>
    <xf numFmtId="0" fontId="0" fillId="0" borderId="8" xfId="0" applyBorder="1"/>
    <xf numFmtId="0" fontId="0" fillId="0" borderId="0" xfId="0" applyBorder="1"/>
    <xf numFmtId="0" fontId="0" fillId="0" borderId="13" xfId="0" applyBorder="1"/>
    <xf numFmtId="0" fontId="20" fillId="0" borderId="0" xfId="0" applyFont="1"/>
    <xf numFmtId="0" fontId="0" fillId="0" borderId="0" xfId="0"/>
    <xf numFmtId="0" fontId="0" fillId="0" borderId="0" xfId="0" applyAlignment="1">
      <alignment vertical="center"/>
    </xf>
    <xf numFmtId="169" fontId="13" fillId="6" borderId="0" xfId="2" applyNumberFormat="1" applyFont="1" applyFill="1" applyBorder="1" applyAlignment="1">
      <alignment horizontal="center"/>
    </xf>
    <xf numFmtId="169" fontId="13" fillId="7" borderId="0" xfId="2" applyNumberFormat="1" applyFont="1" applyFill="1" applyBorder="1" applyAlignment="1">
      <alignment horizontal="center"/>
    </xf>
    <xf numFmtId="169" fontId="13" fillId="8" borderId="0" xfId="2" applyNumberFormat="1" applyFont="1" applyFill="1" applyBorder="1" applyAlignment="1">
      <alignment horizontal="center"/>
    </xf>
    <xf numFmtId="173" fontId="0" fillId="9" borderId="0" xfId="0" applyNumberFormat="1" applyFill="1"/>
    <xf numFmtId="2" fontId="0" fillId="4" borderId="0" xfId="0" applyNumberFormat="1" applyFill="1"/>
    <xf numFmtId="172" fontId="0" fillId="4" borderId="0" xfId="0" applyNumberFormat="1" applyFill="1"/>
    <xf numFmtId="165" fontId="0" fillId="10" borderId="0" xfId="0" applyNumberFormat="1" applyFill="1"/>
    <xf numFmtId="2" fontId="0" fillId="10" borderId="0" xfId="0" applyNumberFormat="1" applyFill="1"/>
    <xf numFmtId="171" fontId="0" fillId="10" borderId="0" xfId="0" applyNumberFormat="1" applyFill="1"/>
    <xf numFmtId="168" fontId="13" fillId="10" borderId="0" xfId="31" applyNumberFormat="1" applyFont="1" applyFill="1"/>
    <xf numFmtId="167" fontId="0" fillId="9" borderId="0" xfId="0" applyNumberFormat="1" applyFill="1"/>
    <xf numFmtId="175" fontId="0" fillId="8" borderId="0" xfId="0" applyNumberFormat="1" applyFill="1"/>
    <xf numFmtId="0" fontId="0" fillId="8" borderId="0" xfId="0" applyFill="1"/>
    <xf numFmtId="0" fontId="0" fillId="0" borderId="8" xfId="0" applyBorder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66" fontId="13" fillId="9" borderId="0" xfId="31" applyNumberFormat="1" applyFont="1" applyFill="1"/>
    <xf numFmtId="166" fontId="13" fillId="0" borderId="0" xfId="31" applyNumberFormat="1" applyFont="1"/>
    <xf numFmtId="0" fontId="0" fillId="0" borderId="5" xfId="0" applyBorder="1"/>
    <xf numFmtId="2" fontId="0" fillId="11" borderId="0" xfId="0" applyNumberFormat="1" applyFill="1"/>
    <xf numFmtId="2" fontId="0" fillId="12" borderId="0" xfId="0" applyNumberFormat="1" applyFill="1"/>
    <xf numFmtId="2" fontId="13" fillId="11" borderId="0" xfId="31" applyNumberFormat="1" applyFont="1" applyFill="1"/>
    <xf numFmtId="165" fontId="0" fillId="9" borderId="0" xfId="0" applyNumberFormat="1" applyFill="1"/>
    <xf numFmtId="10" fontId="13" fillId="12" borderId="0" xfId="31" applyNumberFormat="1" applyFont="1" applyFill="1"/>
    <xf numFmtId="2" fontId="0" fillId="0" borderId="0" xfId="0" applyNumberFormat="1" applyFill="1"/>
    <xf numFmtId="0" fontId="0" fillId="8" borderId="0" xfId="0" applyNumberFormat="1" applyFill="1"/>
    <xf numFmtId="9" fontId="13" fillId="13" borderId="0" xfId="31" applyFont="1" applyFill="1"/>
    <xf numFmtId="0" fontId="0" fillId="0" borderId="0" xfId="0" applyFill="1" applyBorder="1"/>
    <xf numFmtId="0" fontId="0" fillId="0" borderId="0" xfId="0" applyBorder="1"/>
    <xf numFmtId="0" fontId="0" fillId="0" borderId="0" xfId="0"/>
    <xf numFmtId="0" fontId="0" fillId="0" borderId="0" xfId="0" applyFill="1"/>
    <xf numFmtId="0" fontId="13" fillId="0" borderId="2" xfId="2" applyNumberFormat="1" applyFont="1" applyBorder="1"/>
    <xf numFmtId="170" fontId="13" fillId="8" borderId="0" xfId="2" applyNumberFormat="1" applyFont="1" applyFill="1" applyBorder="1" applyAlignment="1">
      <alignment horizontal="center"/>
    </xf>
    <xf numFmtId="43" fontId="13" fillId="8" borderId="0" xfId="2" applyNumberFormat="1" applyFont="1" applyFill="1" applyBorder="1" applyAlignment="1">
      <alignment horizontal="center"/>
    </xf>
    <xf numFmtId="174" fontId="0" fillId="12" borderId="0" xfId="0" applyNumberFormat="1" applyFill="1"/>
    <xf numFmtId="174" fontId="0" fillId="0" borderId="0" xfId="0" applyNumberFormat="1" applyFill="1"/>
    <xf numFmtId="174" fontId="13" fillId="0" borderId="0" xfId="31" applyNumberFormat="1" applyFont="1"/>
    <xf numFmtId="169" fontId="13" fillId="0" borderId="0" xfId="2" applyNumberFormat="1" applyFont="1" applyFill="1" applyBorder="1" applyAlignment="1">
      <alignment horizontal="center"/>
    </xf>
    <xf numFmtId="0" fontId="13" fillId="0" borderId="0" xfId="2" applyNumberFormat="1" applyFont="1" applyFill="1" applyBorder="1" applyAlignment="1">
      <alignment horizontal="center"/>
    </xf>
    <xf numFmtId="43" fontId="13" fillId="0" borderId="0" xfId="2" applyFont="1" applyFill="1" applyBorder="1" applyAlignment="1"/>
    <xf numFmtId="3" fontId="0" fillId="0" borderId="0" xfId="0" applyNumberFormat="1" applyFill="1" applyBorder="1" applyAlignment="1">
      <alignment horizontal="center"/>
    </xf>
    <xf numFmtId="169" fontId="13" fillId="0" borderId="0" xfId="2" applyNumberFormat="1" applyFont="1" applyFill="1" applyBorder="1"/>
    <xf numFmtId="3" fontId="0" fillId="0" borderId="0" xfId="0" applyNumberFormat="1" applyFill="1" applyBorder="1"/>
    <xf numFmtId="169" fontId="13" fillId="0" borderId="0" xfId="2" applyNumberFormat="1" applyFont="1" applyFill="1" applyBorder="1" applyAlignment="1">
      <alignment horizontal="right"/>
    </xf>
    <xf numFmtId="43" fontId="13" fillId="0" borderId="0" xfId="2" applyFont="1" applyFill="1" applyBorder="1" applyAlignment="1">
      <alignment horizontal="center"/>
    </xf>
    <xf numFmtId="43" fontId="13" fillId="0" borderId="0" xfId="2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169" fontId="13" fillId="0" borderId="0" xfId="2" applyNumberFormat="1" applyFont="1" applyFill="1" applyBorder="1" applyAlignment="1">
      <alignment horizontal="center" wrapText="1"/>
    </xf>
    <xf numFmtId="169" fontId="13" fillId="0" borderId="0" xfId="2" applyNumberFormat="1" applyFont="1" applyFill="1" applyBorder="1" applyAlignment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175" fontId="0" fillId="8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2" fontId="0" fillId="9" borderId="0" xfId="0" applyNumberFormat="1" applyFill="1" applyAlignment="1">
      <alignment wrapText="1"/>
    </xf>
    <xf numFmtId="166" fontId="13" fillId="9" borderId="0" xfId="31" applyNumberFormat="1" applyFont="1" applyFill="1" applyAlignment="1">
      <alignment wrapText="1"/>
    </xf>
    <xf numFmtId="167" fontId="0" fillId="8" borderId="0" xfId="0" applyNumberFormat="1" applyFill="1" applyAlignment="1">
      <alignment wrapText="1"/>
    </xf>
    <xf numFmtId="165" fontId="0" fillId="9" borderId="0" xfId="0" applyNumberFormat="1" applyFill="1" applyAlignment="1">
      <alignment wrapText="1"/>
    </xf>
    <xf numFmtId="165" fontId="0" fillId="8" borderId="0" xfId="0" applyNumberFormat="1" applyFill="1" applyAlignment="1">
      <alignment wrapText="1"/>
    </xf>
    <xf numFmtId="2" fontId="0" fillId="11" borderId="0" xfId="0" applyNumberFormat="1" applyFill="1" applyAlignment="1">
      <alignment wrapText="1"/>
    </xf>
    <xf numFmtId="2" fontId="13" fillId="11" borderId="0" xfId="31" applyNumberFormat="1" applyFont="1" applyFill="1" applyAlignment="1">
      <alignment wrapText="1"/>
    </xf>
    <xf numFmtId="166" fontId="13" fillId="0" borderId="0" xfId="31" applyNumberFormat="1" applyFont="1" applyAlignment="1">
      <alignment wrapText="1"/>
    </xf>
    <xf numFmtId="2" fontId="0" fillId="12" borderId="0" xfId="0" applyNumberFormat="1" applyFill="1" applyAlignment="1">
      <alignment wrapText="1"/>
    </xf>
    <xf numFmtId="10" fontId="13" fillId="12" borderId="0" xfId="31" applyNumberFormat="1" applyFont="1" applyFill="1" applyAlignment="1">
      <alignment wrapText="1"/>
    </xf>
    <xf numFmtId="2" fontId="0" fillId="0" borderId="0" xfId="0" applyNumberFormat="1" applyFill="1" applyAlignment="1">
      <alignment wrapText="1"/>
    </xf>
    <xf numFmtId="9" fontId="13" fillId="13" borderId="0" xfId="31" applyFont="1" applyFill="1" applyAlignment="1">
      <alignment wrapText="1"/>
    </xf>
    <xf numFmtId="0" fontId="0" fillId="0" borderId="0" xfId="0" applyFill="1" applyAlignment="1">
      <alignment wrapText="1"/>
    </xf>
    <xf numFmtId="178" fontId="13" fillId="8" borderId="0" xfId="2" applyNumberFormat="1" applyFont="1" applyFill="1" applyBorder="1" applyAlignment="1">
      <alignment horizontal="center" wrapText="1"/>
    </xf>
    <xf numFmtId="177" fontId="13" fillId="8" borderId="0" xfId="2" applyNumberFormat="1" applyFont="1" applyFill="1" applyBorder="1" applyAlignment="1">
      <alignment horizontal="center" wrapText="1"/>
    </xf>
    <xf numFmtId="177" fontId="13" fillId="6" borderId="0" xfId="2" applyNumberFormat="1" applyFont="1" applyFill="1" applyBorder="1" applyAlignment="1">
      <alignment horizontal="center" wrapText="1"/>
    </xf>
    <xf numFmtId="169" fontId="13" fillId="8" borderId="0" xfId="2" applyNumberFormat="1" applyFont="1" applyFill="1" applyBorder="1" applyAlignment="1">
      <alignment horizontal="center" wrapText="1"/>
    </xf>
    <xf numFmtId="169" fontId="13" fillId="7" borderId="0" xfId="2" applyNumberFormat="1" applyFont="1" applyFill="1" applyBorder="1" applyAlignment="1">
      <alignment horizontal="center" wrapText="1"/>
    </xf>
    <xf numFmtId="169" fontId="13" fillId="6" borderId="0" xfId="2" applyNumberFormat="1" applyFont="1" applyFill="1" applyBorder="1" applyAlignment="1">
      <alignment horizontal="center" wrapText="1"/>
    </xf>
    <xf numFmtId="173" fontId="0" fillId="9" borderId="0" xfId="0" applyNumberFormat="1" applyFill="1" applyAlignment="1">
      <alignment wrapText="1"/>
    </xf>
    <xf numFmtId="167" fontId="0" fillId="9" borderId="0" xfId="0" applyNumberFormat="1" applyFill="1" applyAlignment="1">
      <alignment wrapText="1"/>
    </xf>
    <xf numFmtId="2" fontId="0" fillId="4" borderId="0" xfId="0" applyNumberFormat="1" applyFill="1" applyAlignment="1">
      <alignment wrapText="1"/>
    </xf>
    <xf numFmtId="172" fontId="0" fillId="4" borderId="0" xfId="0" applyNumberFormat="1" applyFill="1" applyAlignment="1">
      <alignment wrapText="1"/>
    </xf>
    <xf numFmtId="165" fontId="0" fillId="10" borderId="0" xfId="0" applyNumberFormat="1" applyFill="1" applyAlignment="1">
      <alignment wrapText="1"/>
    </xf>
    <xf numFmtId="2" fontId="0" fillId="10" borderId="0" xfId="0" applyNumberFormat="1" applyFill="1" applyAlignment="1">
      <alignment wrapText="1"/>
    </xf>
    <xf numFmtId="171" fontId="0" fillId="10" borderId="0" xfId="0" applyNumberFormat="1" applyFill="1" applyAlignment="1">
      <alignment wrapText="1"/>
    </xf>
    <xf numFmtId="168" fontId="13" fillId="10" borderId="0" xfId="31" applyNumberFormat="1" applyFont="1" applyFill="1" applyAlignment="1">
      <alignment wrapText="1"/>
    </xf>
    <xf numFmtId="43" fontId="13" fillId="8" borderId="0" xfId="2" applyNumberFormat="1" applyFont="1" applyFill="1" applyBorder="1" applyAlignment="1">
      <alignment horizontal="center" wrapText="1"/>
    </xf>
    <xf numFmtId="170" fontId="13" fillId="8" borderId="0" xfId="2" applyNumberFormat="1" applyFont="1" applyFill="1" applyBorder="1" applyAlignment="1">
      <alignment horizontal="center" wrapText="1"/>
    </xf>
    <xf numFmtId="2" fontId="0" fillId="14" borderId="0" xfId="0" applyNumberFormat="1" applyFill="1" applyProtection="1"/>
    <xf numFmtId="0" fontId="0" fillId="0" borderId="0" xfId="0"/>
    <xf numFmtId="0" fontId="0" fillId="8" borderId="0" xfId="0" applyFill="1"/>
    <xf numFmtId="0" fontId="0" fillId="0" borderId="3" xfId="0" applyBorder="1"/>
    <xf numFmtId="0" fontId="0" fillId="0" borderId="6" xfId="0" applyBorder="1"/>
    <xf numFmtId="0" fontId="0" fillId="0" borderId="8" xfId="0" applyFont="1" applyBorder="1"/>
    <xf numFmtId="0" fontId="14" fillId="3" borderId="9" xfId="0" applyFont="1" applyFill="1" applyBorder="1"/>
    <xf numFmtId="0" fontId="14" fillId="3" borderId="10" xfId="0" applyFont="1" applyFill="1" applyBorder="1"/>
    <xf numFmtId="0" fontId="16" fillId="3" borderId="1" xfId="0" applyFont="1" applyFill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0" borderId="8" xfId="0" applyFont="1" applyFill="1" applyBorder="1"/>
    <xf numFmtId="0" fontId="0" fillId="0" borderId="0" xfId="0" applyBorder="1"/>
    <xf numFmtId="0" fontId="0" fillId="0" borderId="13" xfId="0" applyBorder="1"/>
    <xf numFmtId="0" fontId="0" fillId="0" borderId="0" xfId="0" applyProtection="1"/>
    <xf numFmtId="169" fontId="13" fillId="8" borderId="0" xfId="19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8" borderId="0" xfId="0" applyFill="1" applyProtection="1">
      <protection locked="0"/>
    </xf>
    <xf numFmtId="0" fontId="0" fillId="15" borderId="0" xfId="0" applyFill="1"/>
    <xf numFmtId="0" fontId="0" fillId="15" borderId="0" xfId="0" applyFill="1" applyProtection="1">
      <protection locked="0"/>
    </xf>
    <xf numFmtId="0" fontId="22" fillId="0" borderId="8" xfId="0" applyFont="1" applyFill="1" applyBorder="1"/>
    <xf numFmtId="0" fontId="14" fillId="0" borderId="0" xfId="0" applyFont="1" applyFill="1" applyBorder="1"/>
    <xf numFmtId="0" fontId="14" fillId="0" borderId="13" xfId="0" applyFont="1" applyFill="1" applyBorder="1"/>
    <xf numFmtId="1" fontId="0" fillId="14" borderId="0" xfId="0" applyNumberFormat="1" applyFill="1" applyProtection="1"/>
    <xf numFmtId="0" fontId="0" fillId="14" borderId="0" xfId="0" applyFill="1" applyProtection="1">
      <protection locked="0"/>
    </xf>
    <xf numFmtId="9" fontId="13" fillId="0" borderId="0" xfId="31" applyFont="1" applyProtection="1"/>
    <xf numFmtId="9" fontId="13" fillId="14" borderId="0" xfId="31" applyFont="1" applyFill="1" applyProtection="1"/>
    <xf numFmtId="0" fontId="0" fillId="14" borderId="0" xfId="0" applyFill="1" applyProtection="1"/>
    <xf numFmtId="169" fontId="13" fillId="15" borderId="0" xfId="19" applyNumberFormat="1" applyFont="1" applyFill="1" applyBorder="1" applyAlignment="1" applyProtection="1">
      <alignment horizontal="right"/>
    </xf>
    <xf numFmtId="0" fontId="0" fillId="16" borderId="0" xfId="0" applyFill="1" applyProtection="1"/>
    <xf numFmtId="0" fontId="0" fillId="16" borderId="0" xfId="0" applyFill="1"/>
    <xf numFmtId="0" fontId="16" fillId="4" borderId="0" xfId="0" applyFont="1" applyFill="1" applyBorder="1"/>
    <xf numFmtId="9" fontId="13" fillId="8" borderId="0" xfId="31" applyFont="1" applyFill="1" applyBorder="1" applyAlignment="1" applyProtection="1">
      <alignment horizontal="right"/>
    </xf>
    <xf numFmtId="43" fontId="13" fillId="15" borderId="0" xfId="19" applyNumberFormat="1" applyFont="1" applyFill="1" applyBorder="1" applyAlignment="1" applyProtection="1">
      <alignment horizontal="center"/>
    </xf>
    <xf numFmtId="0" fontId="0" fillId="0" borderId="2" xfId="0" applyFont="1" applyBorder="1"/>
    <xf numFmtId="43" fontId="0" fillId="14" borderId="0" xfId="0" applyNumberFormat="1" applyFill="1" applyProtection="1"/>
    <xf numFmtId="9" fontId="13" fillId="0" borderId="0" xfId="31" applyFont="1"/>
    <xf numFmtId="0" fontId="23" fillId="15" borderId="0" xfId="0" applyFont="1" applyFill="1"/>
    <xf numFmtId="0" fontId="13" fillId="0" borderId="0" xfId="31" applyNumberFormat="1" applyFont="1"/>
    <xf numFmtId="0" fontId="23" fillId="17" borderId="0" xfId="0" applyFont="1" applyFill="1"/>
    <xf numFmtId="0" fontId="0" fillId="17" borderId="0" xfId="0" applyFill="1"/>
    <xf numFmtId="0" fontId="0" fillId="18" borderId="0" xfId="0" applyFill="1"/>
    <xf numFmtId="0" fontId="23" fillId="0" borderId="0" xfId="0" applyFont="1"/>
    <xf numFmtId="0" fontId="23" fillId="18" borderId="0" xfId="0" applyFont="1" applyFill="1"/>
    <xf numFmtId="168" fontId="13" fillId="8" borderId="0" xfId="31" applyNumberFormat="1" applyFont="1" applyFill="1"/>
    <xf numFmtId="0" fontId="0" fillId="8" borderId="0" xfId="0" applyFill="1" applyAlignment="1">
      <alignment vertical="center"/>
    </xf>
    <xf numFmtId="0" fontId="24" fillId="0" borderId="15" xfId="0" applyFont="1" applyBorder="1" applyAlignment="1">
      <alignment horizontal="left" vertical="center" indent="2"/>
    </xf>
    <xf numFmtId="0" fontId="17" fillId="0" borderId="15" xfId="20" applyBorder="1" applyAlignment="1">
      <alignment horizontal="left" vertical="center" indent="2"/>
    </xf>
    <xf numFmtId="0" fontId="25" fillId="0" borderId="15" xfId="0" applyFont="1" applyBorder="1" applyAlignment="1">
      <alignment horizontal="left" vertical="center" indent="2"/>
    </xf>
    <xf numFmtId="0" fontId="0" fillId="19" borderId="15" xfId="0" applyFill="1" applyBorder="1" applyAlignment="1">
      <alignment horizontal="left" vertical="center" indent="2"/>
    </xf>
    <xf numFmtId="0" fontId="24" fillId="0" borderId="16" xfId="0" applyFont="1" applyBorder="1" applyAlignment="1">
      <alignment horizontal="left" vertical="center" indent="1"/>
    </xf>
    <xf numFmtId="0" fontId="17" fillId="0" borderId="16" xfId="20" applyBorder="1" applyAlignment="1">
      <alignment horizontal="left" vertical="center" indent="1"/>
    </xf>
    <xf numFmtId="181" fontId="13" fillId="8" borderId="0" xfId="31" applyNumberFormat="1" applyFont="1" applyFill="1"/>
    <xf numFmtId="176" fontId="13" fillId="0" borderId="0" xfId="31" applyNumberFormat="1" applyFont="1"/>
    <xf numFmtId="180" fontId="13" fillId="9" borderId="0" xfId="31" applyNumberFormat="1" applyFont="1" applyFill="1"/>
    <xf numFmtId="181" fontId="13" fillId="9" borderId="0" xfId="31" applyNumberFormat="1" applyFont="1" applyFill="1" applyAlignment="1">
      <alignment wrapText="1"/>
    </xf>
    <xf numFmtId="0" fontId="13" fillId="8" borderId="0" xfId="31" applyNumberFormat="1" applyFont="1" applyFill="1"/>
    <xf numFmtId="0" fontId="0" fillId="4" borderId="0" xfId="0" applyNumberFormat="1" applyFill="1"/>
    <xf numFmtId="179" fontId="13" fillId="8" borderId="0" xfId="31" applyNumberFormat="1" applyFont="1" applyFill="1"/>
    <xf numFmtId="176" fontId="0" fillId="0" borderId="0" xfId="0" applyNumberFormat="1"/>
    <xf numFmtId="0" fontId="0" fillId="6" borderId="2" xfId="0" applyFont="1" applyFill="1" applyBorder="1"/>
    <xf numFmtId="0" fontId="0" fillId="6" borderId="3" xfId="0" applyFill="1" applyBorder="1"/>
    <xf numFmtId="0" fontId="0" fillId="6" borderId="5" xfId="0" applyFill="1" applyBorder="1"/>
    <xf numFmtId="1" fontId="0" fillId="6" borderId="0" xfId="0" applyNumberFormat="1" applyFill="1" applyProtection="1"/>
    <xf numFmtId="0" fontId="0" fillId="6" borderId="0" xfId="0" applyFill="1" applyProtection="1">
      <protection locked="0"/>
    </xf>
    <xf numFmtId="0" fontId="0" fillId="6" borderId="0" xfId="0" applyFill="1" applyProtection="1"/>
    <xf numFmtId="0" fontId="0" fillId="6" borderId="0" xfId="0" applyFill="1"/>
    <xf numFmtId="9" fontId="13" fillId="8" borderId="0" xfId="31" applyFont="1" applyFill="1"/>
    <xf numFmtId="9" fontId="0" fillId="4" borderId="0" xfId="31" applyFont="1" applyFill="1"/>
    <xf numFmtId="175" fontId="27" fillId="8" borderId="0" xfId="0" applyNumberFormat="1" applyFont="1" applyFill="1" applyAlignment="1">
      <alignment wrapText="1"/>
    </xf>
    <xf numFmtId="0" fontId="14" fillId="8" borderId="0" xfId="0" applyNumberFormat="1" applyFont="1" applyFill="1" applyAlignment="1">
      <alignment wrapText="1"/>
    </xf>
    <xf numFmtId="176" fontId="0" fillId="9" borderId="0" xfId="0" applyNumberFormat="1" applyFill="1" applyAlignment="1">
      <alignment wrapText="1"/>
    </xf>
    <xf numFmtId="182" fontId="13" fillId="15" borderId="0" xfId="19" applyNumberFormat="1" applyFont="1" applyFill="1" applyBorder="1" applyAlignment="1" applyProtection="1">
      <alignment horizontal="center"/>
    </xf>
    <xf numFmtId="183" fontId="13" fillId="15" borderId="0" xfId="19" applyNumberFormat="1" applyFont="1" applyFill="1" applyBorder="1" applyAlignment="1" applyProtection="1">
      <alignment horizontal="center"/>
    </xf>
    <xf numFmtId="184" fontId="0" fillId="0" borderId="0" xfId="0" applyNumberFormat="1"/>
    <xf numFmtId="176" fontId="0" fillId="8" borderId="0" xfId="0" applyNumberFormat="1" applyFill="1"/>
    <xf numFmtId="185" fontId="0" fillId="12" borderId="0" xfId="0" applyNumberFormat="1" applyFill="1" applyAlignment="1">
      <alignment wrapText="1"/>
    </xf>
    <xf numFmtId="176" fontId="0" fillId="12" borderId="0" xfId="0" applyNumberFormat="1" applyFill="1" applyAlignment="1">
      <alignment wrapText="1"/>
    </xf>
    <xf numFmtId="185" fontId="0" fillId="11" borderId="0" xfId="0" applyNumberFormat="1" applyFill="1" applyAlignment="1">
      <alignment wrapText="1"/>
    </xf>
    <xf numFmtId="184" fontId="13" fillId="11" borderId="0" xfId="31" applyNumberFormat="1" applyFont="1" applyFill="1" applyAlignment="1">
      <alignment wrapText="1"/>
    </xf>
    <xf numFmtId="186" fontId="0" fillId="12" borderId="0" xfId="0" applyNumberFormat="1" applyFill="1" applyAlignment="1">
      <alignment wrapText="1"/>
    </xf>
    <xf numFmtId="184" fontId="0" fillId="14" borderId="0" xfId="0" applyNumberFormat="1" applyFill="1" applyProtection="1"/>
    <xf numFmtId="176" fontId="0" fillId="12" borderId="0" xfId="0" applyNumberFormat="1" applyFill="1"/>
    <xf numFmtId="176" fontId="0" fillId="11" borderId="0" xfId="0" applyNumberFormat="1" applyFill="1"/>
    <xf numFmtId="176" fontId="13" fillId="11" borderId="0" xfId="31" applyNumberFormat="1" applyFont="1" applyFill="1"/>
    <xf numFmtId="176" fontId="0" fillId="9" borderId="0" xfId="0" applyNumberFormat="1" applyFill="1"/>
    <xf numFmtId="165" fontId="0" fillId="11" borderId="0" xfId="0" applyNumberFormat="1" applyFill="1" applyAlignment="1">
      <alignment wrapText="1"/>
    </xf>
    <xf numFmtId="165" fontId="13" fillId="11" borderId="0" xfId="31" applyNumberFormat="1" applyFont="1" applyFill="1" applyAlignment="1">
      <alignment wrapText="1"/>
    </xf>
    <xf numFmtId="165" fontId="0" fillId="12" borderId="0" xfId="0" applyNumberFormat="1" applyFill="1" applyAlignment="1">
      <alignment wrapText="1"/>
    </xf>
    <xf numFmtId="0" fontId="0" fillId="20" borderId="0" xfId="0" applyFill="1" applyAlignment="1">
      <alignment wrapText="1"/>
    </xf>
    <xf numFmtId="169" fontId="0" fillId="6" borderId="0" xfId="2" applyNumberFormat="1" applyFont="1" applyFill="1" applyBorder="1" applyAlignment="1">
      <alignment horizontal="center" wrapText="1"/>
    </xf>
    <xf numFmtId="187" fontId="13" fillId="8" borderId="0" xfId="2" applyNumberFormat="1" applyFont="1" applyFill="1" applyBorder="1" applyAlignment="1">
      <alignment horizontal="center" wrapText="1"/>
    </xf>
    <xf numFmtId="173" fontId="13" fillId="8" borderId="0" xfId="2" applyNumberFormat="1" applyFont="1" applyFill="1" applyBorder="1" applyAlignment="1">
      <alignment horizontal="center" wrapText="1"/>
    </xf>
    <xf numFmtId="186" fontId="0" fillId="9" borderId="0" xfId="0" applyNumberFormat="1" applyFill="1" applyAlignment="1">
      <alignment wrapText="1"/>
    </xf>
    <xf numFmtId="184" fontId="13" fillId="0" borderId="0" xfId="31" applyNumberFormat="1" applyFont="1"/>
    <xf numFmtId="184" fontId="0" fillId="9" borderId="0" xfId="0" applyNumberFormat="1" applyFill="1"/>
    <xf numFmtId="168" fontId="13" fillId="9" borderId="0" xfId="31" applyNumberFormat="1" applyFont="1" applyFill="1"/>
    <xf numFmtId="0" fontId="0" fillId="9" borderId="0" xfId="0" applyFill="1" applyAlignment="1">
      <alignment vertical="center"/>
    </xf>
    <xf numFmtId="188" fontId="13" fillId="9" borderId="0" xfId="31" applyNumberFormat="1" applyFont="1" applyFill="1"/>
    <xf numFmtId="186" fontId="0" fillId="9" borderId="0" xfId="0" applyNumberFormat="1" applyFill="1"/>
    <xf numFmtId="186" fontId="13" fillId="9" borderId="0" xfId="31" applyNumberFormat="1" applyFont="1" applyFill="1"/>
    <xf numFmtId="189" fontId="0" fillId="8" borderId="0" xfId="0" applyNumberFormat="1" applyFill="1" applyAlignment="1">
      <alignment wrapText="1"/>
    </xf>
    <xf numFmtId="186" fontId="0" fillId="15" borderId="0" xfId="0" applyNumberFormat="1" applyFill="1"/>
    <xf numFmtId="176" fontId="0" fillId="21" borderId="0" xfId="0" applyNumberFormat="1" applyFill="1"/>
    <xf numFmtId="184" fontId="0" fillId="21" borderId="0" xfId="0" applyNumberFormat="1" applyFill="1"/>
    <xf numFmtId="9" fontId="0" fillId="0" borderId="0" xfId="0" applyNumberFormat="1"/>
    <xf numFmtId="0" fontId="0" fillId="8" borderId="0" xfId="0" applyNumberFormat="1" applyFill="1" applyAlignment="1">
      <alignment wrapText="1"/>
    </xf>
    <xf numFmtId="0" fontId="0" fillId="8" borderId="17" xfId="0" applyFill="1" applyBorder="1" applyAlignment="1">
      <alignment wrapText="1"/>
    </xf>
    <xf numFmtId="175" fontId="28" fillId="8" borderId="19" xfId="0" applyNumberFormat="1" applyFont="1" applyFill="1" applyBorder="1" applyAlignment="1">
      <alignment wrapText="1"/>
    </xf>
    <xf numFmtId="175" fontId="16" fillId="4" borderId="20" xfId="0" applyNumberFormat="1" applyFont="1" applyFill="1" applyBorder="1" applyAlignment="1">
      <alignment horizontal="right" wrapText="1"/>
    </xf>
    <xf numFmtId="175" fontId="28" fillId="8" borderId="18" xfId="0" applyNumberFormat="1" applyFont="1" applyFill="1" applyBorder="1" applyAlignment="1">
      <alignment wrapText="1"/>
    </xf>
    <xf numFmtId="175" fontId="16" fillId="4" borderId="18" xfId="0" applyNumberFormat="1" applyFont="1" applyFill="1" applyBorder="1" applyAlignment="1">
      <alignment horizontal="right" wrapText="1"/>
    </xf>
    <xf numFmtId="1" fontId="0" fillId="8" borderId="0" xfId="0" applyNumberFormat="1" applyFill="1"/>
    <xf numFmtId="168" fontId="13" fillId="9" borderId="0" xfId="31" applyNumberFormat="1" applyFont="1" applyFill="1" applyAlignment="1">
      <alignment wrapText="1"/>
    </xf>
    <xf numFmtId="167" fontId="0" fillId="12" borderId="0" xfId="0" applyNumberFormat="1" applyFill="1"/>
    <xf numFmtId="165" fontId="0" fillId="11" borderId="0" xfId="0" applyNumberFormat="1" applyFill="1"/>
    <xf numFmtId="165" fontId="0" fillId="12" borderId="0" xfId="0" applyNumberFormat="1" applyFill="1"/>
    <xf numFmtId="165" fontId="13" fillId="11" borderId="0" xfId="31" applyNumberFormat="1" applyFont="1" applyFill="1"/>
    <xf numFmtId="1" fontId="0" fillId="11" borderId="0" xfId="0" applyNumberFormat="1" applyFill="1"/>
    <xf numFmtId="167" fontId="0" fillId="12" borderId="0" xfId="0" applyNumberFormat="1" applyFill="1" applyAlignment="1">
      <alignment wrapText="1"/>
    </xf>
    <xf numFmtId="174" fontId="0" fillId="0" borderId="0" xfId="0" applyNumberFormat="1"/>
    <xf numFmtId="167" fontId="0" fillId="0" borderId="0" xfId="0" applyNumberFormat="1" applyAlignment="1">
      <alignment wrapText="1"/>
    </xf>
    <xf numFmtId="190" fontId="13" fillId="15" borderId="0" xfId="19" applyNumberFormat="1" applyFont="1" applyFill="1" applyBorder="1" applyAlignment="1" applyProtection="1">
      <alignment horizontal="center"/>
    </xf>
    <xf numFmtId="0" fontId="23" fillId="0" borderId="0" xfId="0" applyFont="1" applyFill="1"/>
    <xf numFmtId="168" fontId="0" fillId="4" borderId="0" xfId="31" applyNumberFormat="1" applyFont="1" applyFill="1"/>
    <xf numFmtId="168" fontId="0" fillId="0" borderId="0" xfId="31" applyNumberFormat="1" applyFont="1"/>
    <xf numFmtId="2" fontId="0" fillId="15" borderId="0" xfId="0" applyNumberFormat="1" applyFill="1" applyAlignment="1">
      <alignment horizontal="right"/>
    </xf>
    <xf numFmtId="174" fontId="0" fillId="22" borderId="0" xfId="0" applyNumberFormat="1" applyFill="1"/>
    <xf numFmtId="0" fontId="14" fillId="0" borderId="8" xfId="0" applyFont="1" applyBorder="1"/>
    <xf numFmtId="0" fontId="14" fillId="21" borderId="0" xfId="0" applyFont="1" applyFill="1"/>
    <xf numFmtId="168" fontId="14" fillId="21" borderId="0" xfId="31" applyNumberFormat="1" applyFont="1" applyFill="1"/>
    <xf numFmtId="169" fontId="13" fillId="0" borderId="0" xfId="2" applyNumberFormat="1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/>
    </xf>
  </cellXfs>
  <cellStyles count="43">
    <cellStyle name="Calculation 2" xfId="1" xr:uid="{00000000-0005-0000-0000-000000000000}"/>
    <cellStyle name="Comma" xfId="2" builtinId="3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2 2 2" xfId="6" xr:uid="{00000000-0005-0000-0000-000005000000}"/>
    <cellStyle name="Comma 2 2 3" xfId="7" xr:uid="{00000000-0005-0000-0000-000006000000}"/>
    <cellStyle name="Comma 2 3" xfId="8" xr:uid="{00000000-0005-0000-0000-000007000000}"/>
    <cellStyle name="Comma 2 3 2" xfId="9" xr:uid="{00000000-0005-0000-0000-000008000000}"/>
    <cellStyle name="Comma 2 4" xfId="10" xr:uid="{00000000-0005-0000-0000-000009000000}"/>
    <cellStyle name="Comma 3" xfId="11" xr:uid="{00000000-0005-0000-0000-00000A000000}"/>
    <cellStyle name="Comma 3 2" xfId="12" xr:uid="{00000000-0005-0000-0000-00000B000000}"/>
    <cellStyle name="Comma 3 2 2" xfId="13" xr:uid="{00000000-0005-0000-0000-00000C000000}"/>
    <cellStyle name="Comma 3 3" xfId="14" xr:uid="{00000000-0005-0000-0000-00000D000000}"/>
    <cellStyle name="Comma 3 4" xfId="15" xr:uid="{00000000-0005-0000-0000-00000E000000}"/>
    <cellStyle name="Comma 4" xfId="16" xr:uid="{00000000-0005-0000-0000-00000F000000}"/>
    <cellStyle name="Comma 4 2" xfId="17" xr:uid="{00000000-0005-0000-0000-000010000000}"/>
    <cellStyle name="Comma 5" xfId="18" xr:uid="{00000000-0005-0000-0000-000011000000}"/>
    <cellStyle name="Comma 6" xfId="19" xr:uid="{00000000-0005-0000-0000-000012000000}"/>
    <cellStyle name="Hyperlink" xfId="20" builtinId="8"/>
    <cellStyle name="Normal" xfId="0" builtinId="0"/>
    <cellStyle name="Normal 2" xfId="21" xr:uid="{00000000-0005-0000-0000-000015000000}"/>
    <cellStyle name="Normal 2 2" xfId="22" xr:uid="{00000000-0005-0000-0000-000016000000}"/>
    <cellStyle name="Normal 2 2 2" xfId="23" xr:uid="{00000000-0005-0000-0000-000017000000}"/>
    <cellStyle name="Normal 3" xfId="24" xr:uid="{00000000-0005-0000-0000-000018000000}"/>
    <cellStyle name="Normal 4" xfId="25" xr:uid="{00000000-0005-0000-0000-000019000000}"/>
    <cellStyle name="Normal 4 2" xfId="26" xr:uid="{00000000-0005-0000-0000-00001A000000}"/>
    <cellStyle name="Normal 5" xfId="27" xr:uid="{00000000-0005-0000-0000-00001B000000}"/>
    <cellStyle name="Normal 5 2" xfId="28" xr:uid="{00000000-0005-0000-0000-00001C000000}"/>
    <cellStyle name="Normal 6" xfId="29" xr:uid="{00000000-0005-0000-0000-00001D000000}"/>
    <cellStyle name="Normal 7" xfId="30" xr:uid="{00000000-0005-0000-0000-00001E000000}"/>
    <cellStyle name="Percent" xfId="31" builtinId="5"/>
    <cellStyle name="Percent 2" xfId="32" xr:uid="{00000000-0005-0000-0000-000020000000}"/>
    <cellStyle name="Percent 2 2" xfId="33" xr:uid="{00000000-0005-0000-0000-000021000000}"/>
    <cellStyle name="Percent 2 2 2" xfId="34" xr:uid="{00000000-0005-0000-0000-000022000000}"/>
    <cellStyle name="Percent 3" xfId="35" xr:uid="{00000000-0005-0000-0000-000023000000}"/>
    <cellStyle name="Percent 3 2" xfId="36" xr:uid="{00000000-0005-0000-0000-000024000000}"/>
    <cellStyle name="Percent 4" xfId="37" xr:uid="{00000000-0005-0000-0000-000025000000}"/>
    <cellStyle name="Percent 5" xfId="38" xr:uid="{00000000-0005-0000-0000-000026000000}"/>
    <cellStyle name="Percent 5 2" xfId="39" xr:uid="{00000000-0005-0000-0000-000027000000}"/>
    <cellStyle name="Percent 6" xfId="40" xr:uid="{00000000-0005-0000-0000-000028000000}"/>
    <cellStyle name="Percent 6 2" xfId="41" xr:uid="{00000000-0005-0000-0000-000029000000}"/>
    <cellStyle name="Percent 7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</xdr:col>
      <xdr:colOff>600075</xdr:colOff>
      <xdr:row>9</xdr:row>
      <xdr:rowOff>66675</xdr:rowOff>
    </xdr:to>
    <xdr:pic>
      <xdr:nvPicPr>
        <xdr:cNvPr id="2" name="Picture 1" descr="Open Source sharing under Creative Commons 4.0 for non-commercial uses">
          <a:extLst>
            <a:ext uri="{FF2B5EF4-FFF2-40B4-BE49-F238E27FC236}">
              <a16:creationId xmlns:a16="http://schemas.microsoft.com/office/drawing/2014/main" id="{E1A0977A-22BD-4364-A7DC-B04DBA7C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209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28575</xdr:rowOff>
        </xdr:to>
        <xdr:sp macro="" textlink="">
          <xdr:nvSpPr>
            <xdr:cNvPr id="12289" name="Control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F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304800</xdr:colOff>
          <xdr:row>4</xdr:row>
          <xdr:rowOff>28575</xdr:rowOff>
        </xdr:to>
        <xdr:sp macro="" textlink="">
          <xdr:nvSpPr>
            <xdr:cNvPr id="12290" name="Control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F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304800</xdr:colOff>
          <xdr:row>6</xdr:row>
          <xdr:rowOff>28575</xdr:rowOff>
        </xdr:to>
        <xdr:sp macro="" textlink="">
          <xdr:nvSpPr>
            <xdr:cNvPr id="12291" name="Control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F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304800</xdr:colOff>
          <xdr:row>12</xdr:row>
          <xdr:rowOff>28575</xdr:rowOff>
        </xdr:to>
        <xdr:sp macro="" textlink="">
          <xdr:nvSpPr>
            <xdr:cNvPr id="12292" name="Control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F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304800</xdr:colOff>
          <xdr:row>14</xdr:row>
          <xdr:rowOff>28575</xdr:rowOff>
        </xdr:to>
        <xdr:sp macro="" textlink="">
          <xdr:nvSpPr>
            <xdr:cNvPr id="12293" name="Control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F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28575</xdr:rowOff>
        </xdr:to>
        <xdr:sp macro="" textlink="">
          <xdr:nvSpPr>
            <xdr:cNvPr id="12294" name="Control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F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1</xdr:col>
          <xdr:colOff>304800</xdr:colOff>
          <xdr:row>22</xdr:row>
          <xdr:rowOff>28575</xdr:rowOff>
        </xdr:to>
        <xdr:sp macro="" textlink="">
          <xdr:nvSpPr>
            <xdr:cNvPr id="12295" name="Control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F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1</xdr:col>
          <xdr:colOff>304800</xdr:colOff>
          <xdr:row>28</xdr:row>
          <xdr:rowOff>28575</xdr:rowOff>
        </xdr:to>
        <xdr:sp macro="" textlink="">
          <xdr:nvSpPr>
            <xdr:cNvPr id="12296" name="Control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F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1</xdr:col>
          <xdr:colOff>304800</xdr:colOff>
          <xdr:row>30</xdr:row>
          <xdr:rowOff>28575</xdr:rowOff>
        </xdr:to>
        <xdr:sp macro="" textlink="">
          <xdr:nvSpPr>
            <xdr:cNvPr id="12297" name="Control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F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1</xdr:col>
          <xdr:colOff>304800</xdr:colOff>
          <xdr:row>36</xdr:row>
          <xdr:rowOff>28575</xdr:rowOff>
        </xdr:to>
        <xdr:sp macro="" textlink="">
          <xdr:nvSpPr>
            <xdr:cNvPr id="12298" name="Control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F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1</xdr:col>
          <xdr:colOff>304800</xdr:colOff>
          <xdr:row>38</xdr:row>
          <xdr:rowOff>28575</xdr:rowOff>
        </xdr:to>
        <xdr:sp macro="" textlink="">
          <xdr:nvSpPr>
            <xdr:cNvPr id="12299" name="Control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F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1</xdr:col>
          <xdr:colOff>304800</xdr:colOff>
          <xdr:row>40</xdr:row>
          <xdr:rowOff>28575</xdr:rowOff>
        </xdr:to>
        <xdr:sp macro="" textlink="">
          <xdr:nvSpPr>
            <xdr:cNvPr id="12300" name="Control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F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1</xdr:col>
          <xdr:colOff>304800</xdr:colOff>
          <xdr:row>42</xdr:row>
          <xdr:rowOff>28575</xdr:rowOff>
        </xdr:to>
        <xdr:sp macro="" textlink="">
          <xdr:nvSpPr>
            <xdr:cNvPr id="12301" name="Control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F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1</xdr:col>
          <xdr:colOff>304800</xdr:colOff>
          <xdr:row>44</xdr:row>
          <xdr:rowOff>28575</xdr:rowOff>
        </xdr:to>
        <xdr:sp macro="" textlink="">
          <xdr:nvSpPr>
            <xdr:cNvPr id="12302" name="Control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F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1</xdr:col>
          <xdr:colOff>304800</xdr:colOff>
          <xdr:row>50</xdr:row>
          <xdr:rowOff>28575</xdr:rowOff>
        </xdr:to>
        <xdr:sp macro="" textlink="">
          <xdr:nvSpPr>
            <xdr:cNvPr id="12303" name="Control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F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1</xdr:col>
          <xdr:colOff>304800</xdr:colOff>
          <xdr:row>52</xdr:row>
          <xdr:rowOff>28575</xdr:rowOff>
        </xdr:to>
        <xdr:sp macro="" textlink="">
          <xdr:nvSpPr>
            <xdr:cNvPr id="12304" name="Control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F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19050</xdr:rowOff>
        </xdr:to>
        <xdr:sp macro="" textlink="">
          <xdr:nvSpPr>
            <xdr:cNvPr id="13313" name="Control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1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304800</xdr:colOff>
          <xdr:row>4</xdr:row>
          <xdr:rowOff>19050</xdr:rowOff>
        </xdr:to>
        <xdr:sp macro="" textlink="">
          <xdr:nvSpPr>
            <xdr:cNvPr id="13314" name="Control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1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304800</xdr:colOff>
          <xdr:row>6</xdr:row>
          <xdr:rowOff>19050</xdr:rowOff>
        </xdr:to>
        <xdr:sp macro="" textlink="">
          <xdr:nvSpPr>
            <xdr:cNvPr id="13315" name="Control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1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1</xdr:col>
          <xdr:colOff>304800</xdr:colOff>
          <xdr:row>8</xdr:row>
          <xdr:rowOff>19050</xdr:rowOff>
        </xdr:to>
        <xdr:sp macro="" textlink="">
          <xdr:nvSpPr>
            <xdr:cNvPr id="13316" name="Control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1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304800</xdr:colOff>
          <xdr:row>10</xdr:row>
          <xdr:rowOff>19050</xdr:rowOff>
        </xdr:to>
        <xdr:sp macro="" textlink="">
          <xdr:nvSpPr>
            <xdr:cNvPr id="13317" name="Control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10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304800</xdr:colOff>
          <xdr:row>12</xdr:row>
          <xdr:rowOff>19050</xdr:rowOff>
        </xdr:to>
        <xdr:sp macro="" textlink="">
          <xdr:nvSpPr>
            <xdr:cNvPr id="13318" name="Control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10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304800</xdr:colOff>
          <xdr:row>14</xdr:row>
          <xdr:rowOff>19050</xdr:rowOff>
        </xdr:to>
        <xdr:sp macro="" textlink="">
          <xdr:nvSpPr>
            <xdr:cNvPr id="13319" name="Control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10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</xdr:col>
          <xdr:colOff>304800</xdr:colOff>
          <xdr:row>16</xdr:row>
          <xdr:rowOff>19050</xdr:rowOff>
        </xdr:to>
        <xdr:sp macro="" textlink="">
          <xdr:nvSpPr>
            <xdr:cNvPr id="13320" name="Control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10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1</xdr:col>
          <xdr:colOff>304800</xdr:colOff>
          <xdr:row>18</xdr:row>
          <xdr:rowOff>19050</xdr:rowOff>
        </xdr:to>
        <xdr:sp macro="" textlink="">
          <xdr:nvSpPr>
            <xdr:cNvPr id="13321" name="Control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10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19050</xdr:rowOff>
        </xdr:to>
        <xdr:sp macro="" textlink="">
          <xdr:nvSpPr>
            <xdr:cNvPr id="13322" name="Control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10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1</xdr:col>
          <xdr:colOff>304800</xdr:colOff>
          <xdr:row>22</xdr:row>
          <xdr:rowOff>19050</xdr:rowOff>
        </xdr:to>
        <xdr:sp macro="" textlink="">
          <xdr:nvSpPr>
            <xdr:cNvPr id="13323" name="Control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10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1</xdr:col>
          <xdr:colOff>304800</xdr:colOff>
          <xdr:row>24</xdr:row>
          <xdr:rowOff>19050</xdr:rowOff>
        </xdr:to>
        <xdr:sp macro="" textlink="">
          <xdr:nvSpPr>
            <xdr:cNvPr id="13324" name="Control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10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1</xdr:col>
          <xdr:colOff>304800</xdr:colOff>
          <xdr:row>26</xdr:row>
          <xdr:rowOff>19050</xdr:rowOff>
        </xdr:to>
        <xdr:sp macro="" textlink="">
          <xdr:nvSpPr>
            <xdr:cNvPr id="13325" name="Control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10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atio.com/customer/67" TargetMode="External"/><Relationship Id="rId13" Type="http://schemas.openxmlformats.org/officeDocument/2006/relationships/drawing" Target="../drawings/drawing2.xml"/><Relationship Id="rId18" Type="http://schemas.openxmlformats.org/officeDocument/2006/relationships/control" Target="../activeX/activeX3.xml"/><Relationship Id="rId26" Type="http://schemas.openxmlformats.org/officeDocument/2006/relationships/control" Target="../activeX/activeX11.xml"/><Relationship Id="rId3" Type="http://schemas.openxmlformats.org/officeDocument/2006/relationships/hyperlink" Target="https://www.seratio.com/customer/67" TargetMode="External"/><Relationship Id="rId21" Type="http://schemas.openxmlformats.org/officeDocument/2006/relationships/control" Target="../activeX/activeX6.xml"/><Relationship Id="rId7" Type="http://schemas.openxmlformats.org/officeDocument/2006/relationships/hyperlink" Target="https://www.seratio.com/customer/67" TargetMode="External"/><Relationship Id="rId12" Type="http://schemas.openxmlformats.org/officeDocument/2006/relationships/printerSettings" Target="../printerSettings/printerSettings4.bin"/><Relationship Id="rId17" Type="http://schemas.openxmlformats.org/officeDocument/2006/relationships/control" Target="../activeX/activeX2.xml"/><Relationship Id="rId25" Type="http://schemas.openxmlformats.org/officeDocument/2006/relationships/control" Target="../activeX/activeX10.xml"/><Relationship Id="rId2" Type="http://schemas.openxmlformats.org/officeDocument/2006/relationships/hyperlink" Target="https://www.seratio.com/customer/67" TargetMode="External"/><Relationship Id="rId16" Type="http://schemas.openxmlformats.org/officeDocument/2006/relationships/image" Target="../media/image2.emf"/><Relationship Id="rId20" Type="http://schemas.openxmlformats.org/officeDocument/2006/relationships/control" Target="../activeX/activeX5.xml"/><Relationship Id="rId29" Type="http://schemas.openxmlformats.org/officeDocument/2006/relationships/control" Target="../activeX/activeX14.xml"/><Relationship Id="rId1" Type="http://schemas.openxmlformats.org/officeDocument/2006/relationships/hyperlink" Target="https://www.seratio.com/customer/67" TargetMode="External"/><Relationship Id="rId6" Type="http://schemas.openxmlformats.org/officeDocument/2006/relationships/hyperlink" Target="https://www.seratio.com/customer/67" TargetMode="External"/><Relationship Id="rId11" Type="http://schemas.openxmlformats.org/officeDocument/2006/relationships/hyperlink" Target="https://www.seratio.com/customer/67" TargetMode="External"/><Relationship Id="rId24" Type="http://schemas.openxmlformats.org/officeDocument/2006/relationships/control" Target="../activeX/activeX9.xml"/><Relationship Id="rId5" Type="http://schemas.openxmlformats.org/officeDocument/2006/relationships/hyperlink" Target="https://www.seratio.com/customer/67" TargetMode="External"/><Relationship Id="rId15" Type="http://schemas.openxmlformats.org/officeDocument/2006/relationships/control" Target="../activeX/activeX1.xml"/><Relationship Id="rId23" Type="http://schemas.openxmlformats.org/officeDocument/2006/relationships/control" Target="../activeX/activeX8.xml"/><Relationship Id="rId28" Type="http://schemas.openxmlformats.org/officeDocument/2006/relationships/control" Target="../activeX/activeX13.xml"/><Relationship Id="rId10" Type="http://schemas.openxmlformats.org/officeDocument/2006/relationships/hyperlink" Target="https://www.seratio.com/customer/67" TargetMode="External"/><Relationship Id="rId19" Type="http://schemas.openxmlformats.org/officeDocument/2006/relationships/control" Target="../activeX/activeX4.xml"/><Relationship Id="rId31" Type="http://schemas.openxmlformats.org/officeDocument/2006/relationships/control" Target="../activeX/activeX16.xml"/><Relationship Id="rId4" Type="http://schemas.openxmlformats.org/officeDocument/2006/relationships/hyperlink" Target="https://www.seratio.com/customer/67" TargetMode="External"/><Relationship Id="rId9" Type="http://schemas.openxmlformats.org/officeDocument/2006/relationships/hyperlink" Target="https://www.seratio.com/customer/67" TargetMode="External"/><Relationship Id="rId14" Type="http://schemas.openxmlformats.org/officeDocument/2006/relationships/vmlDrawing" Target="../drawings/vmlDrawing2.vml"/><Relationship Id="rId22" Type="http://schemas.openxmlformats.org/officeDocument/2006/relationships/control" Target="../activeX/activeX7.xml"/><Relationship Id="rId27" Type="http://schemas.openxmlformats.org/officeDocument/2006/relationships/control" Target="../activeX/activeX12.xml"/><Relationship Id="rId30" Type="http://schemas.openxmlformats.org/officeDocument/2006/relationships/control" Target="../activeX/activeX1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atio.com/bidders/create?contract_id=69" TargetMode="External"/><Relationship Id="rId13" Type="http://schemas.openxmlformats.org/officeDocument/2006/relationships/drawing" Target="../drawings/drawing3.xml"/><Relationship Id="rId18" Type="http://schemas.openxmlformats.org/officeDocument/2006/relationships/control" Target="../activeX/activeX19.xml"/><Relationship Id="rId26" Type="http://schemas.openxmlformats.org/officeDocument/2006/relationships/control" Target="../activeX/activeX27.xml"/><Relationship Id="rId3" Type="http://schemas.openxmlformats.org/officeDocument/2006/relationships/hyperlink" Target="https://www.seratio.com/bidders/create?contract_id=69" TargetMode="External"/><Relationship Id="rId21" Type="http://schemas.openxmlformats.org/officeDocument/2006/relationships/control" Target="../activeX/activeX22.xml"/><Relationship Id="rId7" Type="http://schemas.openxmlformats.org/officeDocument/2006/relationships/hyperlink" Target="https://www.seratio.com/bidders/create?contract_id=69" TargetMode="External"/><Relationship Id="rId12" Type="http://schemas.openxmlformats.org/officeDocument/2006/relationships/hyperlink" Target="https://www.seratio.com/bidders/create?contract_id=69" TargetMode="External"/><Relationship Id="rId17" Type="http://schemas.openxmlformats.org/officeDocument/2006/relationships/control" Target="../activeX/activeX18.xml"/><Relationship Id="rId25" Type="http://schemas.openxmlformats.org/officeDocument/2006/relationships/control" Target="../activeX/activeX26.xml"/><Relationship Id="rId2" Type="http://schemas.openxmlformats.org/officeDocument/2006/relationships/hyperlink" Target="https://www.seratio.com/bidders/create?contract_id=69" TargetMode="External"/><Relationship Id="rId16" Type="http://schemas.openxmlformats.org/officeDocument/2006/relationships/image" Target="../media/image2.emf"/><Relationship Id="rId20" Type="http://schemas.openxmlformats.org/officeDocument/2006/relationships/control" Target="../activeX/activeX21.xml"/><Relationship Id="rId29" Type="http://schemas.openxmlformats.org/officeDocument/2006/relationships/control" Target="../activeX/activeX29.xml"/><Relationship Id="rId1" Type="http://schemas.openxmlformats.org/officeDocument/2006/relationships/hyperlink" Target="https://www.seratio.com/bidders/create?contract_id=69" TargetMode="External"/><Relationship Id="rId6" Type="http://schemas.openxmlformats.org/officeDocument/2006/relationships/hyperlink" Target="https://www.seratio.com/bidders/create?contract_id=69" TargetMode="External"/><Relationship Id="rId11" Type="http://schemas.openxmlformats.org/officeDocument/2006/relationships/hyperlink" Target="https://www.seratio.com/bidders/create?contract_id=69" TargetMode="External"/><Relationship Id="rId24" Type="http://schemas.openxmlformats.org/officeDocument/2006/relationships/control" Target="../activeX/activeX25.xml"/><Relationship Id="rId5" Type="http://schemas.openxmlformats.org/officeDocument/2006/relationships/hyperlink" Target="https://www.seratio.com/bidders/create?contract_id=69" TargetMode="External"/><Relationship Id="rId15" Type="http://schemas.openxmlformats.org/officeDocument/2006/relationships/control" Target="../activeX/activeX17.xml"/><Relationship Id="rId23" Type="http://schemas.openxmlformats.org/officeDocument/2006/relationships/control" Target="../activeX/activeX24.xml"/><Relationship Id="rId28" Type="http://schemas.openxmlformats.org/officeDocument/2006/relationships/image" Target="../media/image3.emf"/><Relationship Id="rId10" Type="http://schemas.openxmlformats.org/officeDocument/2006/relationships/hyperlink" Target="https://www.seratio.com/bidders/create?contract_id=69" TargetMode="External"/><Relationship Id="rId19" Type="http://schemas.openxmlformats.org/officeDocument/2006/relationships/control" Target="../activeX/activeX20.xml"/><Relationship Id="rId4" Type="http://schemas.openxmlformats.org/officeDocument/2006/relationships/hyperlink" Target="https://www.seratio.com/bidders/create?contract_id=69" TargetMode="External"/><Relationship Id="rId9" Type="http://schemas.openxmlformats.org/officeDocument/2006/relationships/hyperlink" Target="https://www.seratio.com/bidders/create?contract_id=69" TargetMode="External"/><Relationship Id="rId14" Type="http://schemas.openxmlformats.org/officeDocument/2006/relationships/vmlDrawing" Target="../drawings/vmlDrawing3.vml"/><Relationship Id="rId22" Type="http://schemas.openxmlformats.org/officeDocument/2006/relationships/control" Target="../activeX/activeX23.xml"/><Relationship Id="rId27" Type="http://schemas.openxmlformats.org/officeDocument/2006/relationships/control" Target="../activeX/activeX28.xml"/><Relationship Id="rId30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fo@cceg.org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U169"/>
  <sheetViews>
    <sheetView zoomScaleNormal="100" workbookViewId="0">
      <pane xSplit="4" ySplit="1" topLeftCell="E3" activePane="bottomRight" state="frozen"/>
      <selection pane="topRight" activeCell="E1" sqref="E1"/>
      <selection pane="bottomLeft" activeCell="A6" sqref="A6"/>
      <selection pane="bottomRight" activeCell="G14" sqref="G14"/>
    </sheetView>
  </sheetViews>
  <sheetFormatPr defaultRowHeight="15"/>
  <cols>
    <col min="2" max="2" width="12.5703125" bestFit="1" customWidth="1"/>
    <col min="4" max="4" width="13.7109375" bestFit="1" customWidth="1"/>
    <col min="5" max="6" width="21.7109375" style="102" customWidth="1"/>
    <col min="7" max="7" width="34" style="102" customWidth="1"/>
    <col min="8" max="8" width="25.140625" style="82" customWidth="1"/>
    <col min="9" max="9" width="39.5703125" style="82" customWidth="1"/>
    <col min="10" max="10" width="17.28515625" style="82" customWidth="1"/>
    <col min="11" max="11" width="65.42578125" style="82" customWidth="1"/>
    <col min="12" max="12" width="17.42578125" style="82" customWidth="1"/>
    <col min="13" max="13" width="65.42578125" style="82" customWidth="1"/>
    <col min="99" max="99" width="12.5703125" bestFit="1" customWidth="1"/>
  </cols>
  <sheetData>
    <row r="1" spans="1:13" ht="15.75" thickBot="1">
      <c r="A1" s="50"/>
      <c r="B1" s="50"/>
      <c r="C1" s="50"/>
      <c r="D1" s="50"/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3">
      <c r="A2" s="1" t="s">
        <v>0</v>
      </c>
      <c r="B2" s="19" t="s">
        <v>34</v>
      </c>
      <c r="C2" s="19"/>
      <c r="D2" s="22"/>
      <c r="E2" s="104">
        <v>42183</v>
      </c>
      <c r="F2" s="104"/>
      <c r="G2" s="104" t="s">
        <v>72</v>
      </c>
      <c r="H2" s="63"/>
      <c r="I2" s="63" t="s">
        <v>72</v>
      </c>
      <c r="J2" s="63"/>
      <c r="K2" s="63"/>
      <c r="L2" s="63"/>
      <c r="M2" s="63"/>
    </row>
    <row r="3" spans="1:13" s="82" customFormat="1">
      <c r="A3" s="65"/>
      <c r="B3" s="81" t="s">
        <v>73</v>
      </c>
      <c r="C3" s="81"/>
      <c r="D3" s="71"/>
      <c r="E3" s="207"/>
      <c r="F3" s="104"/>
      <c r="G3" s="104"/>
      <c r="H3" s="63"/>
      <c r="I3" s="78">
        <f>G6</f>
        <v>6.7128967442888694</v>
      </c>
      <c r="J3" s="63"/>
      <c r="K3" s="63"/>
      <c r="L3" s="63"/>
      <c r="M3" s="63"/>
    </row>
    <row r="4" spans="1:13" s="82" customFormat="1">
      <c r="A4" s="65"/>
      <c r="B4" s="81" t="s">
        <v>74</v>
      </c>
      <c r="C4" s="81"/>
      <c r="D4" s="71"/>
      <c r="E4" s="104"/>
      <c r="F4" s="104"/>
      <c r="G4" s="104"/>
      <c r="H4" s="63"/>
      <c r="I4" s="78">
        <f>G7</f>
        <v>0</v>
      </c>
      <c r="J4" s="63"/>
      <c r="K4" s="63"/>
      <c r="L4" s="63"/>
      <c r="M4" s="63"/>
    </row>
    <row r="5" spans="1:13" s="82" customFormat="1">
      <c r="A5" s="65"/>
      <c r="B5" s="80" t="s">
        <v>75</v>
      </c>
      <c r="C5" s="81"/>
      <c r="D5" s="71"/>
      <c r="E5" s="206"/>
      <c r="F5" s="104"/>
      <c r="G5" s="104"/>
      <c r="H5" s="63"/>
      <c r="I5" s="78">
        <f>G8</f>
        <v>2</v>
      </c>
      <c r="J5" s="63"/>
      <c r="K5" s="63"/>
      <c r="L5" s="63"/>
      <c r="M5" s="63"/>
    </row>
    <row r="6" spans="1:13">
      <c r="A6" s="46"/>
      <c r="B6" s="47" t="s">
        <v>1</v>
      </c>
      <c r="C6" s="47"/>
      <c r="D6" s="22" t="s">
        <v>15</v>
      </c>
      <c r="E6" s="103">
        <v>8</v>
      </c>
      <c r="F6" s="137">
        <v>8</v>
      </c>
      <c r="G6" s="103">
        <f>F120</f>
        <v>6.7128967442888694</v>
      </c>
      <c r="H6" s="64"/>
      <c r="I6" s="64">
        <f>I3+($E$36*1000000)*E120</f>
        <v>2087997.2878967444</v>
      </c>
      <c r="J6" s="64"/>
      <c r="K6" s="64"/>
      <c r="L6" s="64"/>
      <c r="M6" s="64"/>
    </row>
    <row r="7" spans="1:13">
      <c r="A7" s="46"/>
      <c r="B7" s="47" t="s">
        <v>2</v>
      </c>
      <c r="C7" s="47"/>
      <c r="D7" s="22" t="s">
        <v>15</v>
      </c>
      <c r="E7" s="103">
        <v>3</v>
      </c>
      <c r="F7" s="137">
        <v>0</v>
      </c>
      <c r="G7" s="103">
        <f>F7</f>
        <v>0</v>
      </c>
      <c r="H7" s="64"/>
      <c r="I7" s="64">
        <f>I4+($E$36*1000000)*E7</f>
        <v>785451.00000000012</v>
      </c>
      <c r="J7" s="64"/>
      <c r="K7" s="64"/>
      <c r="L7" s="64"/>
      <c r="M7" s="64"/>
    </row>
    <row r="8" spans="1:13">
      <c r="A8" s="46"/>
      <c r="B8" s="47" t="s">
        <v>3</v>
      </c>
      <c r="C8" s="47"/>
      <c r="D8" s="22" t="s">
        <v>15</v>
      </c>
      <c r="E8" s="103">
        <v>53</v>
      </c>
      <c r="F8" s="137">
        <v>2</v>
      </c>
      <c r="G8" s="103">
        <f>F8</f>
        <v>2</v>
      </c>
      <c r="H8" s="64"/>
      <c r="I8" s="64">
        <f>I5+($E$36*1000000)*E8</f>
        <v>13876303.000000002</v>
      </c>
      <c r="J8" s="64"/>
      <c r="K8" s="64"/>
      <c r="L8" s="64"/>
      <c r="M8" s="64"/>
    </row>
    <row r="9" spans="1:13">
      <c r="A9" s="46"/>
      <c r="B9" s="47" t="s">
        <v>8</v>
      </c>
      <c r="C9" s="47"/>
      <c r="D9" s="22" t="s">
        <v>15</v>
      </c>
      <c r="E9" s="105">
        <f>SUM(E6:E8)</f>
        <v>64</v>
      </c>
      <c r="F9" s="67">
        <v>10</v>
      </c>
      <c r="G9" s="105">
        <f>SUM(G6:G8)</f>
        <v>8.7128967442888694</v>
      </c>
      <c r="H9" s="67"/>
      <c r="I9" s="67">
        <f>SUM(I6:I8)</f>
        <v>16749751.287896747</v>
      </c>
      <c r="J9" s="67"/>
      <c r="K9" s="67"/>
      <c r="L9" s="67"/>
      <c r="M9" s="67"/>
    </row>
    <row r="10" spans="1:13">
      <c r="A10" s="46" t="s">
        <v>69</v>
      </c>
      <c r="B10" s="47" t="s">
        <v>70</v>
      </c>
      <c r="C10" s="47"/>
      <c r="D10" s="22" t="s">
        <v>16</v>
      </c>
      <c r="E10" s="106">
        <f>E6</f>
        <v>8</v>
      </c>
      <c r="F10" s="106"/>
      <c r="G10" s="106">
        <f>G6</f>
        <v>6.7128967442888694</v>
      </c>
      <c r="H10" s="68"/>
      <c r="I10" s="68">
        <f>I6</f>
        <v>2087997.2878967444</v>
      </c>
      <c r="J10" s="68"/>
      <c r="K10" s="68"/>
      <c r="L10" s="68"/>
      <c r="M10" s="68"/>
    </row>
    <row r="11" spans="1:13" ht="15.75" thickBot="1">
      <c r="A11" s="2" t="s">
        <v>33</v>
      </c>
      <c r="B11" s="3" t="s">
        <v>9</v>
      </c>
      <c r="C11" s="3"/>
      <c r="D11" s="22" t="s">
        <v>17</v>
      </c>
      <c r="E11" s="192">
        <f>E6/E9</f>
        <v>0.125</v>
      </c>
      <c r="F11" s="192">
        <f>F6/F9</f>
        <v>0.8</v>
      </c>
      <c r="G11" s="107">
        <f>G6/G9</f>
        <v>0.77045521613567147</v>
      </c>
      <c r="H11" s="69"/>
      <c r="I11" s="191">
        <f>I6/I9</f>
        <v>0.12465840548960967</v>
      </c>
      <c r="J11" s="69"/>
      <c r="K11" s="69"/>
      <c r="L11" s="69"/>
      <c r="M11" s="69"/>
    </row>
    <row r="12" spans="1:13" ht="15.75" thickBot="1">
      <c r="A12" s="50"/>
      <c r="B12" s="50"/>
      <c r="C12" s="50"/>
      <c r="D12" s="22"/>
    </row>
    <row r="13" spans="1:13">
      <c r="A13" s="1" t="s">
        <v>23</v>
      </c>
      <c r="B13" s="19" t="s">
        <v>4</v>
      </c>
      <c r="C13" s="19"/>
      <c r="D13" s="22" t="s">
        <v>18</v>
      </c>
      <c r="E13" s="103">
        <v>12.694000000000001</v>
      </c>
      <c r="F13" s="103">
        <v>2.1514999999999999E-2</v>
      </c>
      <c r="G13" s="103">
        <f>F13+E13</f>
        <v>12.715515000000002</v>
      </c>
      <c r="H13" s="64"/>
      <c r="I13" s="103">
        <f>H13+G13</f>
        <v>12.715515000000002</v>
      </c>
      <c r="J13" s="64"/>
      <c r="K13" s="64"/>
      <c r="L13" s="64"/>
      <c r="M13" s="64"/>
    </row>
    <row r="14" spans="1:13">
      <c r="A14" s="46"/>
      <c r="B14" s="47" t="s">
        <v>35</v>
      </c>
      <c r="C14" s="47"/>
      <c r="D14" s="22" t="s">
        <v>15</v>
      </c>
      <c r="E14" s="103">
        <v>0</v>
      </c>
      <c r="F14" s="103"/>
      <c r="G14" s="103">
        <v>0</v>
      </c>
      <c r="H14" s="64"/>
      <c r="I14" s="103">
        <v>0</v>
      </c>
      <c r="J14" s="64"/>
      <c r="K14" s="64"/>
      <c r="L14" s="64"/>
      <c r="M14" s="64"/>
    </row>
    <row r="15" spans="1:13">
      <c r="A15" s="46"/>
      <c r="B15" s="47" t="s">
        <v>5</v>
      </c>
      <c r="C15" s="47"/>
      <c r="D15" s="22" t="s">
        <v>19</v>
      </c>
      <c r="E15" s="103">
        <v>2.7</v>
      </c>
      <c r="F15" s="103"/>
      <c r="G15" s="103">
        <v>2.7</v>
      </c>
      <c r="H15" s="64"/>
      <c r="I15" s="103">
        <v>2.7</v>
      </c>
      <c r="J15" s="64"/>
      <c r="K15" s="64"/>
      <c r="L15" s="64"/>
      <c r="M15" s="64"/>
    </row>
    <row r="16" spans="1:13">
      <c r="A16" s="46"/>
      <c r="B16" s="47" t="s">
        <v>13</v>
      </c>
      <c r="C16" s="47"/>
      <c r="D16" s="22" t="s">
        <v>18</v>
      </c>
      <c r="E16" s="108">
        <v>1277.2370000000001</v>
      </c>
      <c r="F16" s="108"/>
      <c r="G16" s="108">
        <v>1277.2370000000001</v>
      </c>
      <c r="H16" s="64"/>
      <c r="I16" s="108">
        <v>1277.2370000000001</v>
      </c>
      <c r="J16" s="64"/>
      <c r="K16" s="64"/>
      <c r="L16" s="64"/>
      <c r="M16" s="64"/>
    </row>
    <row r="17" spans="1:13">
      <c r="A17" s="46"/>
      <c r="B17" s="47" t="s">
        <v>11</v>
      </c>
      <c r="C17" s="47"/>
      <c r="D17" s="22" t="s">
        <v>15</v>
      </c>
      <c r="E17" s="103">
        <v>2149</v>
      </c>
      <c r="F17" s="103"/>
      <c r="G17" s="103">
        <v>2149</v>
      </c>
      <c r="H17" s="64"/>
      <c r="I17" s="103">
        <v>2149</v>
      </c>
      <c r="J17" s="64"/>
      <c r="K17" s="64"/>
      <c r="L17" s="64"/>
      <c r="M17" s="64"/>
    </row>
    <row r="18" spans="1:13">
      <c r="A18" s="46"/>
      <c r="B18" s="47" t="s">
        <v>12</v>
      </c>
      <c r="C18" s="47"/>
      <c r="D18" s="5" t="s">
        <v>20</v>
      </c>
      <c r="E18" s="103">
        <v>1338</v>
      </c>
      <c r="F18" s="103">
        <v>0</v>
      </c>
      <c r="G18" s="103">
        <v>1338</v>
      </c>
      <c r="H18" s="64"/>
      <c r="I18" s="103">
        <v>1338</v>
      </c>
      <c r="J18" s="64"/>
      <c r="K18" s="64"/>
      <c r="L18" s="64"/>
      <c r="M18" s="64"/>
    </row>
    <row r="19" spans="1:13">
      <c r="A19" s="46"/>
      <c r="B19" s="47" t="s">
        <v>26</v>
      </c>
      <c r="C19" s="47"/>
      <c r="D19" s="5" t="s">
        <v>20</v>
      </c>
      <c r="E19" s="103">
        <v>0</v>
      </c>
      <c r="F19" s="103"/>
      <c r="G19" s="103">
        <v>0</v>
      </c>
      <c r="H19" s="64"/>
      <c r="I19" s="103">
        <v>0</v>
      </c>
      <c r="J19" s="64"/>
      <c r="K19" s="64"/>
      <c r="L19" s="64"/>
      <c r="M19" s="64"/>
    </row>
    <row r="20" spans="1:13">
      <c r="A20" s="46"/>
      <c r="B20" s="47" t="s">
        <v>21</v>
      </c>
      <c r="C20" s="47" t="s">
        <v>27</v>
      </c>
      <c r="D20" s="22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  <c r="K20" s="67"/>
      <c r="L20" s="67"/>
      <c r="M20" s="67"/>
    </row>
    <row r="21" spans="1:13" ht="15.75" thickBot="1">
      <c r="A21" s="2"/>
      <c r="B21" s="3"/>
      <c r="C21" s="3" t="s">
        <v>28</v>
      </c>
      <c r="D21" s="22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  <c r="K21" s="67"/>
      <c r="L21" s="67"/>
      <c r="M21" s="67"/>
    </row>
    <row r="22" spans="1:13" ht="15.75" thickBot="1">
      <c r="A22" s="50"/>
      <c r="B22" s="50"/>
      <c r="C22" s="50"/>
      <c r="D22" s="22"/>
    </row>
    <row r="23" spans="1:13">
      <c r="A23" s="1"/>
      <c r="B23" s="19"/>
      <c r="C23" s="19"/>
      <c r="D23" s="22" t="s">
        <v>19</v>
      </c>
      <c r="E23" s="103">
        <v>0.25966800000000001</v>
      </c>
      <c r="F23" s="103">
        <v>1.0000000000000001E-5</v>
      </c>
      <c r="G23" s="103">
        <f>F23+E23</f>
        <v>0.25967800000000002</v>
      </c>
      <c r="H23" s="64"/>
      <c r="I23" s="103">
        <f>H23+G23</f>
        <v>0.25967800000000002</v>
      </c>
      <c r="J23" s="64"/>
      <c r="K23" s="64"/>
      <c r="L23" s="64"/>
      <c r="M23" s="64"/>
    </row>
    <row r="24" spans="1:13">
      <c r="A24" s="46"/>
      <c r="B24" s="45"/>
      <c r="D24" s="22" t="s">
        <v>19</v>
      </c>
      <c r="E24" s="103">
        <v>0</v>
      </c>
      <c r="F24" s="103"/>
      <c r="G24" s="103">
        <v>0</v>
      </c>
      <c r="H24" s="64"/>
      <c r="I24" s="64">
        <v>0</v>
      </c>
      <c r="J24" s="64"/>
      <c r="K24" s="64"/>
      <c r="L24" s="64"/>
      <c r="M24" s="64"/>
    </row>
    <row r="25" spans="1:13">
      <c r="B25" s="80"/>
      <c r="D25" s="22" t="s">
        <v>19</v>
      </c>
      <c r="E25" s="103">
        <v>0</v>
      </c>
      <c r="F25" s="103"/>
      <c r="G25" s="103">
        <v>0</v>
      </c>
      <c r="H25" s="64"/>
      <c r="I25" s="64">
        <v>0</v>
      </c>
      <c r="J25" s="64"/>
      <c r="K25" s="64"/>
      <c r="L25" s="64"/>
      <c r="M25" s="64"/>
    </row>
    <row r="26" spans="1:13">
      <c r="B26" s="80"/>
      <c r="D26" s="22" t="s">
        <v>19</v>
      </c>
      <c r="E26" s="103">
        <v>0</v>
      </c>
      <c r="F26" s="103"/>
      <c r="G26" s="103">
        <v>0</v>
      </c>
      <c r="H26" s="64"/>
      <c r="I26" s="64">
        <v>0</v>
      </c>
      <c r="J26" s="64"/>
      <c r="K26" s="64"/>
      <c r="L26" s="64"/>
      <c r="M26" s="64"/>
    </row>
    <row r="27" spans="1:13">
      <c r="B27" s="80"/>
      <c r="D27" s="22" t="s">
        <v>19</v>
      </c>
      <c r="E27" s="103">
        <v>0</v>
      </c>
      <c r="F27" s="103"/>
      <c r="G27" s="103">
        <v>0</v>
      </c>
      <c r="H27" s="64"/>
      <c r="I27" s="64">
        <v>0</v>
      </c>
      <c r="J27" s="64"/>
      <c r="K27" s="64"/>
      <c r="L27" s="64"/>
      <c r="M27" s="64"/>
    </row>
    <row r="28" spans="1:13">
      <c r="B28" s="80"/>
      <c r="D28" s="22" t="s">
        <v>19</v>
      </c>
      <c r="E28" s="103">
        <v>0</v>
      </c>
      <c r="F28" s="103"/>
      <c r="G28" s="103">
        <v>0</v>
      </c>
      <c r="H28" s="64"/>
      <c r="I28" s="64">
        <v>0</v>
      </c>
      <c r="J28" s="64"/>
      <c r="K28" s="64"/>
      <c r="L28" s="64"/>
      <c r="M28" s="64"/>
    </row>
    <row r="29" spans="1:13">
      <c r="B29" s="80"/>
      <c r="D29" s="22" t="s">
        <v>19</v>
      </c>
      <c r="E29" s="103">
        <v>0</v>
      </c>
      <c r="F29" s="103"/>
      <c r="G29" s="103">
        <v>0</v>
      </c>
      <c r="H29" s="64"/>
      <c r="I29" s="64">
        <v>0</v>
      </c>
      <c r="J29" s="64"/>
      <c r="K29" s="64"/>
      <c r="L29" s="64"/>
      <c r="M29" s="64"/>
    </row>
    <row r="30" spans="1:13">
      <c r="A30" s="46"/>
      <c r="B30" s="80"/>
      <c r="D30" s="22" t="s">
        <v>19</v>
      </c>
      <c r="E30" s="103">
        <v>0</v>
      </c>
      <c r="F30" s="103"/>
      <c r="G30" s="103">
        <v>0</v>
      </c>
      <c r="H30" s="64"/>
      <c r="I30" s="64">
        <v>0</v>
      </c>
      <c r="J30" s="64"/>
      <c r="K30" s="64"/>
      <c r="L30" s="64"/>
      <c r="M30" s="64"/>
    </row>
    <row r="31" spans="1:13">
      <c r="A31" s="46"/>
      <c r="B31" s="80"/>
      <c r="D31" s="22" t="s">
        <v>19</v>
      </c>
      <c r="E31" s="103">
        <v>0</v>
      </c>
      <c r="F31" s="103"/>
      <c r="G31" s="103">
        <v>0</v>
      </c>
      <c r="H31" s="64"/>
      <c r="I31" s="64">
        <v>0</v>
      </c>
      <c r="J31" s="64"/>
      <c r="K31" s="64"/>
      <c r="L31" s="64"/>
      <c r="M31" s="64"/>
    </row>
    <row r="32" spans="1:13">
      <c r="A32" s="46"/>
      <c r="B32" s="80"/>
      <c r="D32" s="22" t="s">
        <v>19</v>
      </c>
      <c r="E32" s="103">
        <v>0</v>
      </c>
      <c r="F32" s="103"/>
      <c r="G32" s="103">
        <v>0</v>
      </c>
      <c r="H32" s="64"/>
      <c r="I32" s="64">
        <v>0</v>
      </c>
      <c r="J32" s="64"/>
      <c r="K32" s="64"/>
      <c r="L32" s="64"/>
      <c r="M32" s="64"/>
    </row>
    <row r="33" spans="1:14">
      <c r="A33" s="46"/>
      <c r="B33" s="80"/>
      <c r="D33" s="22" t="s">
        <v>19</v>
      </c>
      <c r="E33" s="103">
        <v>0</v>
      </c>
      <c r="F33" s="103"/>
      <c r="G33" s="103">
        <v>0</v>
      </c>
      <c r="H33" s="64"/>
      <c r="I33" s="64">
        <v>0</v>
      </c>
      <c r="J33" s="64"/>
      <c r="K33" s="64"/>
      <c r="L33" s="64"/>
      <c r="M33" s="64"/>
    </row>
    <row r="34" spans="1:14">
      <c r="A34" s="46"/>
      <c r="B34" s="80"/>
      <c r="D34" s="22" t="s">
        <v>19</v>
      </c>
      <c r="E34" s="103">
        <v>0</v>
      </c>
      <c r="F34" s="103"/>
      <c r="G34" s="103">
        <v>0</v>
      </c>
      <c r="H34" s="64"/>
      <c r="I34" s="64">
        <v>0</v>
      </c>
      <c r="J34" s="64"/>
      <c r="K34" s="64"/>
      <c r="L34" s="64"/>
      <c r="M34" s="64"/>
    </row>
    <row r="35" spans="1:14">
      <c r="A35" s="46"/>
      <c r="B35" s="47"/>
      <c r="C35" s="47"/>
      <c r="D35" s="22" t="s">
        <v>19</v>
      </c>
      <c r="E35" s="103"/>
      <c r="F35" s="103"/>
      <c r="G35" s="103"/>
      <c r="H35" s="64"/>
      <c r="I35" s="64"/>
      <c r="J35" s="64"/>
      <c r="K35" s="64"/>
      <c r="L35" s="64"/>
      <c r="M35" s="64"/>
    </row>
    <row r="36" spans="1:14" ht="15.75" thickBot="1">
      <c r="A36" s="2"/>
      <c r="B36" s="3"/>
      <c r="C36" s="3" t="s">
        <v>7</v>
      </c>
      <c r="D36" s="22" t="s">
        <v>19</v>
      </c>
      <c r="E36" s="208">
        <f>SUM(E23:E34)+E17/1000000</f>
        <v>0.26181700000000002</v>
      </c>
      <c r="F36" s="109"/>
      <c r="G36" s="208">
        <f>SUM(G23:G34)+G17/1000000</f>
        <v>0.26182700000000003</v>
      </c>
      <c r="H36" s="75"/>
      <c r="I36" s="222">
        <f>SUM(I23:I34)+I17/1000000</f>
        <v>0.26182700000000003</v>
      </c>
      <c r="J36" s="75"/>
      <c r="K36" s="75"/>
      <c r="L36" s="75"/>
      <c r="M36" s="75"/>
    </row>
    <row r="37" spans="1:14" ht="15.75" thickBot="1">
      <c r="A37" s="50"/>
      <c r="B37" s="50"/>
      <c r="C37" s="50"/>
      <c r="D37" s="22"/>
    </row>
    <row r="38" spans="1:14" ht="15.75" thickBot="1">
      <c r="A38" s="7" t="s">
        <v>10</v>
      </c>
      <c r="B38" s="4"/>
      <c r="C38" s="4"/>
      <c r="D38" s="22" t="s">
        <v>18</v>
      </c>
      <c r="E38" s="110">
        <v>1.143</v>
      </c>
      <c r="F38" s="110"/>
      <c r="G38" s="110">
        <v>1.143</v>
      </c>
      <c r="H38" s="66"/>
      <c r="I38" s="110">
        <v>1.143</v>
      </c>
      <c r="J38" s="66"/>
      <c r="K38" s="66"/>
      <c r="L38" s="66"/>
      <c r="M38" s="66"/>
    </row>
    <row r="39" spans="1:14" ht="15.75" thickBot="1">
      <c r="A39" s="50"/>
      <c r="B39" s="50"/>
      <c r="C39" s="50"/>
      <c r="D39" s="22"/>
    </row>
    <row r="40" spans="1:14">
      <c r="A40" s="1" t="s">
        <v>69</v>
      </c>
      <c r="B40" s="19"/>
      <c r="C40" s="19"/>
      <c r="D40" s="22" t="s">
        <v>16</v>
      </c>
      <c r="E40" s="111">
        <f>E10</f>
        <v>8</v>
      </c>
      <c r="F40" s="111"/>
      <c r="G40" s="111">
        <f>G10</f>
        <v>6.7128967442888694</v>
      </c>
      <c r="H40" s="72"/>
      <c r="I40" s="72">
        <f>I10</f>
        <v>2087997.2878967444</v>
      </c>
      <c r="J40" s="72"/>
      <c r="K40" s="72"/>
      <c r="L40" s="72"/>
      <c r="M40" s="72"/>
    </row>
    <row r="41" spans="1:14">
      <c r="A41" s="46" t="s">
        <v>33</v>
      </c>
      <c r="B41" s="47"/>
      <c r="C41" s="47"/>
      <c r="D41" s="22" t="s">
        <v>17</v>
      </c>
      <c r="E41" s="112">
        <f>E11</f>
        <v>0.125</v>
      </c>
      <c r="F41" s="112"/>
      <c r="G41" s="112">
        <f>G11</f>
        <v>0.77045521613567147</v>
      </c>
      <c r="H41" s="74"/>
      <c r="I41" s="74">
        <f>I11</f>
        <v>0.12465840548960967</v>
      </c>
      <c r="J41" s="74"/>
      <c r="K41" s="74"/>
      <c r="L41" s="74"/>
      <c r="M41" s="74"/>
    </row>
    <row r="42" spans="1:14">
      <c r="A42" s="46" t="s">
        <v>31</v>
      </c>
      <c r="B42" s="47"/>
      <c r="C42" s="47"/>
      <c r="D42" s="22" t="s">
        <v>18</v>
      </c>
      <c r="E42" s="112">
        <f>E13</f>
        <v>12.694000000000001</v>
      </c>
      <c r="F42" s="112"/>
      <c r="G42" s="112">
        <f>G13</f>
        <v>12.715515000000002</v>
      </c>
      <c r="H42" s="74"/>
      <c r="I42" s="74">
        <f>I13</f>
        <v>12.715515000000002</v>
      </c>
      <c r="J42" s="74"/>
      <c r="K42" s="74"/>
      <c r="L42" s="74"/>
      <c r="M42" s="74"/>
    </row>
    <row r="43" spans="1:14">
      <c r="A43" s="46" t="s">
        <v>32</v>
      </c>
      <c r="B43" s="47"/>
      <c r="C43" s="47"/>
      <c r="D43" s="22" t="s">
        <v>18</v>
      </c>
      <c r="E43" s="215">
        <f>E18*E20/1000000</f>
        <v>7.2251999999999997E-2</v>
      </c>
      <c r="F43" s="111"/>
      <c r="G43" s="111">
        <f>G18*G20/1000000</f>
        <v>7.2251999999999997E-2</v>
      </c>
      <c r="H43" s="72"/>
      <c r="I43" s="220">
        <f>I18*I20/1000000</f>
        <v>7.2251999999999997E-2</v>
      </c>
      <c r="J43" s="72"/>
      <c r="K43" s="72"/>
      <c r="L43" s="72"/>
      <c r="M43" s="72"/>
      <c r="N43" s="72"/>
    </row>
    <row r="44" spans="1:14">
      <c r="A44" s="46" t="s">
        <v>6</v>
      </c>
      <c r="B44" s="47"/>
      <c r="C44" s="47"/>
      <c r="D44" s="22" t="s">
        <v>18</v>
      </c>
      <c r="E44" s="216">
        <f>(E36*E16/E15)*E120/(E120+E7+E8)</f>
        <v>15.439241706345216</v>
      </c>
      <c r="F44" s="112"/>
      <c r="G44" s="112">
        <f>(G36*G16/G15)*G6/G9</f>
        <v>95.426623260492107</v>
      </c>
      <c r="H44" s="87"/>
      <c r="I44" s="221">
        <f>(I36*I16/I15)*I6/I9</f>
        <v>15.439873009849142</v>
      </c>
      <c r="J44" s="87"/>
      <c r="K44" s="74"/>
      <c r="L44" s="87"/>
      <c r="M44" s="74"/>
      <c r="N44" s="87"/>
    </row>
    <row r="45" spans="1:14" ht="15.75" thickBot="1">
      <c r="A45" s="2" t="s">
        <v>30</v>
      </c>
      <c r="B45" s="3"/>
      <c r="C45" s="3"/>
      <c r="D45" s="22" t="s">
        <v>18</v>
      </c>
      <c r="E45" s="216">
        <f>E38+E13</f>
        <v>13.837000000000002</v>
      </c>
      <c r="F45" s="112"/>
      <c r="G45" s="112">
        <f>G38+G13</f>
        <v>13.858515000000002</v>
      </c>
      <c r="H45" s="74"/>
      <c r="I45" s="221">
        <f>I38+I13</f>
        <v>13.858515000000002</v>
      </c>
      <c r="J45" s="74"/>
      <c r="K45" s="74"/>
      <c r="L45" s="74"/>
      <c r="M45" s="74"/>
      <c r="N45" s="74"/>
    </row>
    <row r="46" spans="1:14" ht="15.75" thickBot="1">
      <c r="A46" s="50"/>
      <c r="B46" s="50"/>
      <c r="C46" s="50"/>
      <c r="D46" s="22"/>
      <c r="E46" s="113"/>
      <c r="F46" s="113"/>
      <c r="G46" s="113"/>
      <c r="H46" s="89"/>
      <c r="I46" s="70"/>
      <c r="J46" s="89"/>
      <c r="K46" s="70"/>
      <c r="L46" s="89"/>
      <c r="M46" s="70"/>
      <c r="N46" s="89"/>
    </row>
    <row r="47" spans="1:14">
      <c r="A47" s="1" t="s">
        <v>29</v>
      </c>
      <c r="B47" s="19"/>
      <c r="C47" s="19"/>
      <c r="D47" s="22" t="s">
        <v>16</v>
      </c>
      <c r="E47" s="213">
        <f>(E43+E38+E13+(E36*E16/E15)*E120/(E120+E7+E8))/(E13*POWER(10,E14))</f>
        <v>2.3119972984358923</v>
      </c>
      <c r="F47" s="114"/>
      <c r="G47" s="114">
        <f>(G43+G38+G13+(G36*G16/G15)*G6/G9)/(G13*POWER(10,G14))</f>
        <v>8.6003115296936148</v>
      </c>
      <c r="H47" s="73"/>
      <c r="I47" s="219">
        <f>(I43+I38+I13+(I36*I16/I15)*I6/I9)/(I13*POWER(10,I14))</f>
        <v>2.3098270113203547</v>
      </c>
      <c r="J47" s="73"/>
      <c r="K47" s="73"/>
      <c r="L47" s="73"/>
      <c r="M47" s="73"/>
      <c r="N47" s="73"/>
    </row>
    <row r="48" spans="1:14">
      <c r="A48" s="46" t="s">
        <v>24</v>
      </c>
      <c r="B48" s="47"/>
      <c r="C48" s="47"/>
      <c r="D48" s="22" t="s">
        <v>18</v>
      </c>
      <c r="E48" s="214">
        <f>E13*E47</f>
        <v>29.34849370634522</v>
      </c>
      <c r="F48" s="114"/>
      <c r="G48" s="114">
        <f>G13*G47</f>
        <v>109.35739026049212</v>
      </c>
      <c r="H48" s="73"/>
      <c r="I48" s="73">
        <f>I13*I47</f>
        <v>29.370640009849144</v>
      </c>
      <c r="J48" s="73"/>
      <c r="K48" s="73"/>
      <c r="L48" s="73"/>
      <c r="M48" s="73"/>
      <c r="N48" s="73"/>
    </row>
    <row r="49" spans="1:99">
      <c r="A49" s="46" t="s">
        <v>25</v>
      </c>
      <c r="B49" s="47"/>
      <c r="C49" s="47"/>
      <c r="D49" s="22" t="s">
        <v>18</v>
      </c>
      <c r="E49" s="217">
        <f>E48-E13</f>
        <v>16.654493706345221</v>
      </c>
      <c r="F49" s="114"/>
      <c r="G49" s="114">
        <f>G48-G13</f>
        <v>96.641875260492128</v>
      </c>
      <c r="H49" s="87"/>
      <c r="I49" s="219">
        <f>I48-I13</f>
        <v>16.655125009849144</v>
      </c>
      <c r="J49" s="87">
        <f>I49-E49</f>
        <v>6.3130350392270884E-4</v>
      </c>
      <c r="K49" s="73"/>
      <c r="L49" s="87"/>
      <c r="M49" s="73"/>
      <c r="N49" s="87"/>
    </row>
    <row r="50" spans="1:99" ht="15.75" thickBot="1">
      <c r="A50" s="2" t="s">
        <v>14</v>
      </c>
      <c r="B50" s="3"/>
      <c r="C50" s="3"/>
      <c r="D50" s="22" t="s">
        <v>17</v>
      </c>
      <c r="E50" s="115">
        <f>E49/E16</f>
        <v>1.3039470126801228E-2</v>
      </c>
      <c r="F50" s="115"/>
      <c r="G50" s="115">
        <f>G49/G16</f>
        <v>7.5664794599978019E-2</v>
      </c>
      <c r="H50" s="76"/>
      <c r="I50" s="76">
        <f>I49/I16</f>
        <v>1.3039964399597837E-2</v>
      </c>
      <c r="J50" s="76"/>
      <c r="K50" s="76"/>
      <c r="L50" s="76"/>
      <c r="M50" s="76"/>
      <c r="N50" s="76"/>
    </row>
    <row r="51" spans="1:99" ht="15.75" thickBot="1">
      <c r="A51" s="50"/>
      <c r="B51" s="50"/>
      <c r="C51" s="50"/>
      <c r="D51" s="22"/>
      <c r="E51" s="116"/>
      <c r="F51" s="116"/>
      <c r="G51" s="116"/>
      <c r="H51" s="88"/>
      <c r="I51" s="77"/>
      <c r="J51" s="88"/>
      <c r="K51" s="77"/>
      <c r="L51" s="88"/>
      <c r="M51" s="77"/>
      <c r="N51" s="88"/>
    </row>
    <row r="52" spans="1:99">
      <c r="A52" s="1" t="s">
        <v>36</v>
      </c>
      <c r="B52" s="19"/>
      <c r="C52" s="20"/>
      <c r="D52" s="8" t="s">
        <v>17</v>
      </c>
      <c r="E52" s="117">
        <f>E43/(E43+E44+E45)</f>
        <v>2.4618639962560988E-3</v>
      </c>
      <c r="F52" s="117"/>
      <c r="G52" s="117">
        <f>G43/(G43+G44+G45)</f>
        <v>6.6069608855783663E-4</v>
      </c>
      <c r="H52" s="79"/>
      <c r="I52" s="79">
        <f>I43/(I43+I44+I45)</f>
        <v>2.4600076803151386E-3</v>
      </c>
      <c r="J52" s="79"/>
      <c r="K52" s="79"/>
      <c r="L52" s="79"/>
      <c r="M52" s="79"/>
    </row>
    <row r="53" spans="1:99">
      <c r="A53" s="46" t="s">
        <v>6</v>
      </c>
      <c r="B53" s="47"/>
      <c r="C53" s="48"/>
      <c r="D53" s="8" t="s">
        <v>17</v>
      </c>
      <c r="E53" s="117">
        <f>E44/(E43+E44+E45)</f>
        <v>0.52606589833287476</v>
      </c>
      <c r="F53" s="117"/>
      <c r="G53" s="117">
        <f>G44/(G43+G44+G45)</f>
        <v>0.87261247761292993</v>
      </c>
      <c r="H53" s="79"/>
      <c r="I53" s="79">
        <f>I44/(I43+I44+I45)</f>
        <v>0.52569072395669747</v>
      </c>
      <c r="J53" s="79"/>
      <c r="K53" s="79"/>
      <c r="L53" s="79"/>
      <c r="M53" s="79"/>
    </row>
    <row r="54" spans="1:99" ht="15.75" thickBot="1">
      <c r="A54" s="2" t="s">
        <v>37</v>
      </c>
      <c r="B54" s="3"/>
      <c r="C54" s="6"/>
      <c r="D54" s="8" t="s">
        <v>17</v>
      </c>
      <c r="E54" s="117">
        <f>E45/(E43+E44+E45)</f>
        <v>0.47147223767086921</v>
      </c>
      <c r="F54" s="117"/>
      <c r="G54" s="117">
        <f>G45/(G43+G44+G45)</f>
        <v>0.12672682629851229</v>
      </c>
      <c r="H54" s="79"/>
      <c r="I54" s="79">
        <f>I45/(I43+I44+I45)</f>
        <v>0.4718492683629873</v>
      </c>
      <c r="J54" s="79"/>
      <c r="K54" s="79"/>
      <c r="L54" s="79"/>
      <c r="M54" s="79"/>
    </row>
    <row r="55" spans="1:99" ht="15.75" thickBot="1">
      <c r="A55" s="50"/>
      <c r="B55" s="50"/>
      <c r="C55" s="50"/>
      <c r="D55" s="24"/>
    </row>
    <row r="56" spans="1:99">
      <c r="A56" s="50"/>
      <c r="B56" s="50"/>
      <c r="C56" s="50"/>
      <c r="D56" s="47"/>
    </row>
    <row r="57" spans="1:99">
      <c r="A57" s="28" t="s">
        <v>71</v>
      </c>
      <c r="B57" s="29"/>
      <c r="C57" s="29"/>
      <c r="D57" s="32"/>
      <c r="E57" s="118"/>
      <c r="F57" s="118"/>
      <c r="G57" s="118"/>
      <c r="H57" s="83"/>
      <c r="I57" s="83"/>
      <c r="J57" s="83"/>
      <c r="K57" s="83"/>
      <c r="L57" s="83"/>
      <c r="M57" s="83"/>
    </row>
    <row r="58" spans="1:99" ht="15.75" thickBot="1">
      <c r="A58" s="50"/>
      <c r="B58" s="50"/>
      <c r="C58" s="50"/>
      <c r="D58" s="50"/>
    </row>
    <row r="59" spans="1:99" ht="15.75" thickBot="1">
      <c r="A59" s="15" t="s">
        <v>45</v>
      </c>
      <c r="B59" s="13"/>
      <c r="C59" s="14"/>
      <c r="D59" s="50"/>
    </row>
    <row r="60" spans="1:99">
      <c r="A60" s="11" t="s">
        <v>38</v>
      </c>
      <c r="B60" s="47"/>
      <c r="C60" s="48"/>
      <c r="D60" s="20" t="s">
        <v>18</v>
      </c>
      <c r="E60" s="119">
        <v>0.82</v>
      </c>
      <c r="F60" s="119"/>
      <c r="G60" s="133">
        <v>1.1818306000000001</v>
      </c>
      <c r="H60" s="86"/>
      <c r="I60" s="86">
        <v>1.1818306000000001</v>
      </c>
      <c r="J60" s="86"/>
      <c r="K60" s="86"/>
      <c r="L60" s="86"/>
      <c r="M60" s="86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268"/>
      <c r="CG60" s="90"/>
      <c r="CH60" s="90"/>
      <c r="CI60" s="90"/>
      <c r="CJ60" s="268"/>
      <c r="CK60" s="90"/>
      <c r="CL60" s="94"/>
      <c r="CM60" s="268"/>
      <c r="CN60" s="90"/>
      <c r="CO60" s="94"/>
      <c r="CP60" s="90"/>
      <c r="CQ60" s="90"/>
      <c r="CR60" s="90"/>
      <c r="CS60" s="90"/>
      <c r="CT60" s="90"/>
      <c r="CU60" s="90"/>
    </row>
    <row r="61" spans="1:99">
      <c r="A61" s="11" t="s">
        <v>39</v>
      </c>
      <c r="B61" s="47"/>
      <c r="C61" s="48"/>
      <c r="D61" s="48" t="s">
        <v>18</v>
      </c>
      <c r="E61" s="119">
        <v>0.25</v>
      </c>
      <c r="F61" s="119"/>
      <c r="G61" s="133">
        <v>0.96474300000000002</v>
      </c>
      <c r="H61" s="86"/>
      <c r="I61" s="86">
        <v>0.96474300000000002</v>
      </c>
      <c r="J61" s="86"/>
      <c r="K61" s="86"/>
      <c r="L61" s="86"/>
      <c r="M61" s="86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268"/>
      <c r="CG61" s="90"/>
      <c r="CH61" s="90"/>
      <c r="CI61" s="90"/>
      <c r="CJ61" s="268"/>
      <c r="CK61" s="90"/>
      <c r="CL61" s="95"/>
      <c r="CM61" s="268"/>
      <c r="CN61" s="90"/>
      <c r="CO61" s="94"/>
      <c r="CP61" s="90"/>
      <c r="CQ61" s="90"/>
      <c r="CR61" s="90"/>
      <c r="CS61" s="90"/>
      <c r="CT61" s="90"/>
      <c r="CU61" s="90"/>
    </row>
    <row r="62" spans="1:99">
      <c r="A62" s="11" t="s">
        <v>40</v>
      </c>
      <c r="B62" s="47"/>
      <c r="C62" s="48"/>
      <c r="D62" s="48" t="s">
        <v>18</v>
      </c>
      <c r="E62" s="120">
        <v>84.334999999999994</v>
      </c>
      <c r="F62" s="120"/>
      <c r="G62" s="122">
        <v>378.6</v>
      </c>
      <c r="H62" s="54"/>
      <c r="I62" s="54">
        <v>378.6</v>
      </c>
      <c r="J62" s="54"/>
      <c r="K62" s="54"/>
      <c r="L62" s="54"/>
      <c r="M62" s="54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5"/>
      <c r="CK62" s="90"/>
      <c r="CL62" s="95"/>
      <c r="CM62" s="94"/>
      <c r="CN62" s="90"/>
      <c r="CO62" s="94"/>
      <c r="CP62" s="90"/>
      <c r="CQ62" s="90"/>
      <c r="CR62" s="90"/>
      <c r="CS62" s="90"/>
      <c r="CT62" s="90"/>
      <c r="CU62" s="90"/>
    </row>
    <row r="63" spans="1:99">
      <c r="A63" s="11" t="s">
        <v>41</v>
      </c>
      <c r="B63" s="47"/>
      <c r="C63" s="48"/>
      <c r="D63" s="48" t="s">
        <v>18</v>
      </c>
      <c r="E63" s="121">
        <f>E62-E60-E61</f>
        <v>83.265000000000001</v>
      </c>
      <c r="F63" s="121"/>
      <c r="G63" s="124">
        <f>G62-G60-G61</f>
        <v>376.45342640000001</v>
      </c>
      <c r="H63" s="52"/>
      <c r="I63" s="52">
        <f>I62-I60-I61</f>
        <v>376.45342640000001</v>
      </c>
      <c r="J63" s="52"/>
      <c r="K63" s="52"/>
      <c r="L63" s="52"/>
      <c r="M63" s="52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4"/>
      <c r="CP63" s="90"/>
      <c r="CQ63" s="90"/>
      <c r="CR63" s="90"/>
      <c r="CS63" s="90"/>
      <c r="CT63" s="90"/>
      <c r="CU63" s="90"/>
    </row>
    <row r="64" spans="1:99">
      <c r="A64" s="11" t="s">
        <v>42</v>
      </c>
      <c r="B64" s="47"/>
      <c r="C64" s="48"/>
      <c r="D64" s="48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  <c r="K64" s="54"/>
      <c r="L64" s="54"/>
      <c r="M64" s="54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6"/>
      <c r="CK64" s="90"/>
      <c r="CL64" s="95"/>
      <c r="CM64" s="94"/>
      <c r="CN64" s="90"/>
      <c r="CO64" s="94"/>
      <c r="CP64" s="90"/>
      <c r="CQ64" s="90"/>
      <c r="CR64" s="90"/>
      <c r="CS64" s="90"/>
      <c r="CT64" s="90"/>
      <c r="CU64" s="90"/>
    </row>
    <row r="65" spans="1:99">
      <c r="A65" s="11" t="s">
        <v>67</v>
      </c>
      <c r="B65" s="47"/>
      <c r="C65" s="48"/>
      <c r="D65" s="48" t="s">
        <v>18</v>
      </c>
      <c r="E65" s="103">
        <v>0</v>
      </c>
      <c r="F65" s="103"/>
      <c r="G65" s="103">
        <v>0</v>
      </c>
      <c r="H65" s="64"/>
      <c r="I65" s="64">
        <v>0</v>
      </c>
      <c r="J65" s="64"/>
      <c r="K65" s="64"/>
      <c r="L65" s="64"/>
      <c r="M65" s="64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4"/>
      <c r="CK65" s="90"/>
      <c r="CL65" s="95"/>
      <c r="CM65" s="94"/>
      <c r="CN65" s="90"/>
      <c r="CO65" s="94"/>
      <c r="CP65" s="90"/>
      <c r="CQ65" s="90"/>
      <c r="CR65" s="90"/>
      <c r="CS65" s="90"/>
      <c r="CT65" s="90"/>
      <c r="CU65" s="90"/>
    </row>
    <row r="66" spans="1:99">
      <c r="A66" s="11" t="s">
        <v>60</v>
      </c>
      <c r="B66" s="47"/>
      <c r="C66" s="48"/>
      <c r="D66" s="48" t="s">
        <v>15</v>
      </c>
      <c r="E66" s="103">
        <v>6</v>
      </c>
      <c r="F66" s="103"/>
      <c r="G66" s="103">
        <v>7</v>
      </c>
      <c r="H66" s="64"/>
      <c r="I66" s="64">
        <v>7</v>
      </c>
      <c r="J66" s="64"/>
      <c r="K66" s="64"/>
      <c r="L66" s="64"/>
      <c r="M66" s="64"/>
      <c r="BM66" s="91"/>
      <c r="BN66" s="91"/>
      <c r="BO66" s="91"/>
      <c r="BP66" s="91"/>
      <c r="BQ66" s="91"/>
      <c r="BR66" s="92"/>
      <c r="BS66" s="91"/>
      <c r="BT66" s="91"/>
      <c r="BU66" s="91"/>
      <c r="BV66" s="91"/>
      <c r="BW66" s="91"/>
      <c r="BX66" s="91"/>
      <c r="BY66" s="91"/>
      <c r="BZ66" s="91"/>
      <c r="CA66" s="97"/>
      <c r="CB66" s="98"/>
      <c r="CC66" s="91"/>
      <c r="CD66" s="91"/>
      <c r="CE66" s="91"/>
      <c r="CF66" s="91"/>
      <c r="CG66" s="91"/>
      <c r="CH66" s="91"/>
      <c r="CI66" s="91"/>
      <c r="CJ66" s="99"/>
      <c r="CK66" s="91"/>
      <c r="CL66" s="99"/>
      <c r="CM66" s="99"/>
      <c r="CN66" s="91"/>
      <c r="CO66" s="99"/>
      <c r="CP66" s="91"/>
      <c r="CQ66" s="91"/>
      <c r="CR66" s="91"/>
      <c r="CS66" s="91"/>
      <c r="CT66" s="91"/>
      <c r="CU66" s="91"/>
    </row>
    <row r="67" spans="1:99">
      <c r="A67" s="11" t="s">
        <v>59</v>
      </c>
      <c r="B67" s="47"/>
      <c r="C67" s="48"/>
      <c r="D67" s="48" t="s">
        <v>15</v>
      </c>
      <c r="E67" s="103">
        <v>27</v>
      </c>
      <c r="F67" s="103"/>
      <c r="G67" s="103">
        <v>63</v>
      </c>
      <c r="H67" s="64"/>
      <c r="I67" s="64">
        <v>63</v>
      </c>
      <c r="J67" s="64"/>
      <c r="K67" s="64"/>
      <c r="L67" s="64"/>
      <c r="M67" s="64"/>
      <c r="BM67" s="91"/>
      <c r="BN67" s="91"/>
      <c r="BO67" s="91"/>
      <c r="BP67" s="91"/>
      <c r="BQ67" s="91"/>
      <c r="BR67" s="92"/>
      <c r="BS67" s="91"/>
      <c r="BT67" s="91"/>
      <c r="BU67" s="91"/>
      <c r="BV67" s="91"/>
      <c r="BW67" s="91"/>
      <c r="BX67" s="91"/>
      <c r="BY67" s="91"/>
      <c r="BZ67" s="91"/>
      <c r="CA67" s="97"/>
      <c r="CB67" s="98"/>
      <c r="CC67" s="91"/>
      <c r="CD67" s="91"/>
      <c r="CE67" s="91"/>
      <c r="CF67" s="91"/>
      <c r="CG67" s="91"/>
      <c r="CH67" s="91"/>
      <c r="CI67" s="91"/>
      <c r="CJ67" s="99"/>
      <c r="CK67" s="91"/>
      <c r="CL67" s="99"/>
      <c r="CM67" s="99"/>
      <c r="CN67" s="91"/>
      <c r="CO67" s="99"/>
      <c r="CP67" s="91"/>
      <c r="CQ67" s="91"/>
      <c r="CR67" s="91"/>
      <c r="CS67" s="91"/>
      <c r="CT67" s="91"/>
      <c r="CU67" s="91"/>
    </row>
    <row r="68" spans="1:99">
      <c r="A68" s="17" t="s">
        <v>61</v>
      </c>
      <c r="B68" s="47"/>
      <c r="C68" s="48"/>
      <c r="D68" s="48" t="s">
        <v>15</v>
      </c>
      <c r="E68" s="123">
        <f>SUM(E66:E67)</f>
        <v>33</v>
      </c>
      <c r="F68" s="123"/>
      <c r="G68" s="123">
        <f>SUM(G66:G67)</f>
        <v>70</v>
      </c>
      <c r="H68" s="53"/>
      <c r="I68" s="53">
        <f>SUM(I66:I67)</f>
        <v>70</v>
      </c>
      <c r="J68" s="53"/>
      <c r="K68" s="53"/>
      <c r="L68" s="53"/>
      <c r="M68" s="53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9"/>
      <c r="CK68" s="91"/>
      <c r="CL68" s="99"/>
      <c r="CM68" s="99"/>
      <c r="CN68" s="91"/>
      <c r="CO68" s="99"/>
      <c r="CP68" s="91"/>
      <c r="CQ68" s="91"/>
      <c r="CR68" s="91"/>
      <c r="CS68" s="91"/>
      <c r="CT68" s="91"/>
      <c r="CU68" s="91"/>
    </row>
    <row r="69" spans="1:99" ht="15.75" thickBot="1">
      <c r="A69" s="12" t="s">
        <v>44</v>
      </c>
      <c r="B69" s="3"/>
      <c r="C69" s="6"/>
      <c r="D69" s="48" t="s">
        <v>15</v>
      </c>
      <c r="E69" s="123">
        <f>E17</f>
        <v>2149</v>
      </c>
      <c r="F69" s="123"/>
      <c r="G69" s="123">
        <f>G17</f>
        <v>2149</v>
      </c>
      <c r="H69" s="53"/>
      <c r="I69" s="53">
        <f>I17</f>
        <v>2149</v>
      </c>
      <c r="J69" s="53"/>
      <c r="K69" s="53"/>
      <c r="L69" s="53"/>
      <c r="M69" s="53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100"/>
      <c r="CC69" s="90"/>
      <c r="CD69" s="90"/>
      <c r="CE69" s="90"/>
      <c r="CF69" s="90"/>
      <c r="CG69" s="90"/>
      <c r="CH69" s="90"/>
      <c r="CI69" s="90"/>
      <c r="CJ69" s="94"/>
      <c r="CK69" s="90"/>
      <c r="CL69" s="94"/>
      <c r="CM69" s="94"/>
      <c r="CN69" s="90"/>
      <c r="CO69" s="94"/>
      <c r="CP69" s="90"/>
      <c r="CQ69" s="90"/>
      <c r="CR69" s="90"/>
      <c r="CS69" s="90"/>
      <c r="CT69" s="90"/>
      <c r="CU69" s="90"/>
    </row>
    <row r="70" spans="1:99" ht="15.75" thickBot="1">
      <c r="A70" s="10"/>
      <c r="B70" s="50"/>
      <c r="C70" s="50"/>
      <c r="D70" s="22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100"/>
      <c r="CC70" s="90"/>
      <c r="CD70" s="90"/>
      <c r="CE70" s="90"/>
      <c r="CF70" s="90"/>
      <c r="CG70" s="90"/>
      <c r="CH70" s="90"/>
      <c r="CI70" s="90"/>
      <c r="CJ70" s="94"/>
      <c r="CK70" s="90"/>
      <c r="CL70" s="94"/>
      <c r="CM70" s="94"/>
      <c r="CN70" s="90"/>
      <c r="CO70" s="94"/>
      <c r="CP70" s="90"/>
      <c r="CQ70" s="90"/>
      <c r="CR70" s="90"/>
      <c r="CS70" s="90"/>
      <c r="CT70" s="90"/>
      <c r="CU70" s="90"/>
    </row>
    <row r="71" spans="1:99">
      <c r="A71" s="16" t="s">
        <v>46</v>
      </c>
      <c r="B71" s="26"/>
      <c r="C71" s="27"/>
      <c r="D71" s="22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10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</row>
    <row r="72" spans="1:99">
      <c r="A72" s="11" t="s">
        <v>38</v>
      </c>
      <c r="B72" s="47"/>
      <c r="C72" s="48"/>
      <c r="D72" s="22" t="s">
        <v>18</v>
      </c>
      <c r="E72" s="119">
        <v>1.143</v>
      </c>
      <c r="F72" s="119"/>
      <c r="G72" s="134">
        <v>1.0263485000000001</v>
      </c>
      <c r="H72" s="85"/>
      <c r="I72" s="85">
        <v>1.0263485000000001</v>
      </c>
      <c r="J72" s="85"/>
      <c r="K72" s="85"/>
      <c r="L72" s="85"/>
      <c r="M72" s="85"/>
      <c r="BM72" s="90"/>
      <c r="BN72" s="90"/>
      <c r="BO72" s="268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268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</row>
    <row r="73" spans="1:99">
      <c r="A73" s="11" t="s">
        <v>39</v>
      </c>
      <c r="B73" s="47"/>
      <c r="C73" s="48"/>
      <c r="D73" s="22" t="s">
        <v>18</v>
      </c>
      <c r="E73" s="119">
        <v>0.224</v>
      </c>
      <c r="F73" s="119"/>
      <c r="G73" s="134">
        <v>0.96448999999999996</v>
      </c>
      <c r="H73" s="85"/>
      <c r="I73" s="85">
        <v>0.96448999999999996</v>
      </c>
      <c r="J73" s="85"/>
      <c r="K73" s="85"/>
      <c r="L73" s="85"/>
      <c r="M73" s="85"/>
      <c r="BM73" s="90"/>
      <c r="BN73" s="90"/>
      <c r="BO73" s="268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268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</row>
    <row r="74" spans="1:99">
      <c r="A74" s="11" t="s">
        <v>40</v>
      </c>
      <c r="B74" s="47"/>
      <c r="C74" s="48"/>
      <c r="D74" s="22" t="s">
        <v>18</v>
      </c>
      <c r="E74" s="120">
        <v>88.456999999999994</v>
      </c>
      <c r="F74" s="120"/>
      <c r="G74" s="122">
        <v>367</v>
      </c>
      <c r="H74" s="54"/>
      <c r="I74" s="54">
        <v>367</v>
      </c>
      <c r="J74" s="54"/>
      <c r="K74" s="54"/>
      <c r="L74" s="54"/>
      <c r="M74" s="54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</row>
    <row r="75" spans="1:99">
      <c r="A75" s="11" t="s">
        <v>41</v>
      </c>
      <c r="B75" s="47"/>
      <c r="C75" s="48"/>
      <c r="D75" s="22" t="s">
        <v>18</v>
      </c>
      <c r="E75" s="121">
        <f>E74-E72-E73</f>
        <v>87.089999999999989</v>
      </c>
      <c r="F75" s="121"/>
      <c r="G75" s="124">
        <f>G74-G72-G73</f>
        <v>365.0091615</v>
      </c>
      <c r="H75" s="52"/>
      <c r="I75" s="52">
        <f>I74-I72-I73</f>
        <v>365.0091615</v>
      </c>
      <c r="J75" s="52"/>
      <c r="K75" s="52"/>
      <c r="L75" s="52"/>
      <c r="M75" s="52"/>
      <c r="BM75" s="90"/>
      <c r="BN75" s="90"/>
      <c r="BO75" s="90"/>
      <c r="BP75" s="93"/>
      <c r="BQ75" s="90"/>
      <c r="BR75" s="90"/>
      <c r="BS75" s="90"/>
      <c r="BT75" s="90"/>
      <c r="BU75" s="90"/>
      <c r="BV75" s="90"/>
      <c r="BW75" s="93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</row>
    <row r="76" spans="1:99">
      <c r="A76" s="11" t="s">
        <v>42</v>
      </c>
      <c r="B76" s="47"/>
      <c r="C76" s="48"/>
      <c r="D76" s="22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  <c r="K76" s="54"/>
      <c r="L76" s="54"/>
      <c r="M76" s="54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</row>
    <row r="77" spans="1:99">
      <c r="A77" s="11" t="s">
        <v>68</v>
      </c>
      <c r="B77" s="47"/>
      <c r="C77" s="48"/>
      <c r="D77" s="22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  <c r="K77" s="54"/>
      <c r="L77" s="54"/>
      <c r="M77" s="54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</row>
    <row r="78" spans="1:99">
      <c r="A78" s="11" t="s">
        <v>60</v>
      </c>
      <c r="B78" s="47"/>
      <c r="C78" s="48"/>
      <c r="D78" s="22" t="s">
        <v>15</v>
      </c>
      <c r="E78" s="122">
        <v>8</v>
      </c>
      <c r="F78" s="122"/>
      <c r="G78" s="122">
        <v>6</v>
      </c>
      <c r="H78" s="54"/>
      <c r="I78" s="54">
        <v>6</v>
      </c>
      <c r="J78" s="54"/>
      <c r="K78" s="54"/>
      <c r="L78" s="54"/>
      <c r="M78" s="54"/>
      <c r="BM78" s="91"/>
      <c r="BN78" s="91"/>
      <c r="BO78" s="91"/>
      <c r="BP78" s="91"/>
      <c r="BQ78" s="91"/>
      <c r="BR78" s="92"/>
      <c r="BS78" s="91"/>
      <c r="BT78" s="91"/>
      <c r="BU78" s="91"/>
      <c r="BV78" s="91"/>
      <c r="BW78" s="91"/>
      <c r="BX78" s="91"/>
      <c r="BY78" s="91"/>
      <c r="BZ78" s="91"/>
      <c r="CA78" s="97"/>
      <c r="CB78" s="101"/>
      <c r="CC78" s="91"/>
      <c r="CD78" s="91"/>
      <c r="CE78" s="91"/>
      <c r="CF78" s="97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</row>
    <row r="79" spans="1:99">
      <c r="A79" s="11" t="s">
        <v>62</v>
      </c>
      <c r="B79" s="47"/>
      <c r="C79" s="48"/>
      <c r="D79" s="18" t="s">
        <v>15</v>
      </c>
      <c r="E79" s="122">
        <v>27</v>
      </c>
      <c r="F79" s="122"/>
      <c r="G79" s="122">
        <v>63</v>
      </c>
      <c r="H79" s="54"/>
      <c r="I79" s="54">
        <v>63</v>
      </c>
      <c r="J79" s="54"/>
      <c r="K79" s="54"/>
      <c r="L79" s="54"/>
      <c r="M79" s="54"/>
      <c r="BM79" s="91"/>
      <c r="BN79" s="91"/>
      <c r="BO79" s="91"/>
      <c r="BP79" s="91"/>
      <c r="BQ79" s="91"/>
      <c r="BR79" s="92"/>
      <c r="BS79" s="91"/>
      <c r="BT79" s="91"/>
      <c r="BU79" s="91"/>
      <c r="BV79" s="91"/>
      <c r="BW79" s="91"/>
      <c r="BX79" s="91"/>
      <c r="BY79" s="91"/>
      <c r="BZ79" s="91"/>
      <c r="CA79" s="97"/>
      <c r="CB79" s="101"/>
      <c r="CC79" s="91"/>
      <c r="CD79" s="91"/>
      <c r="CE79" s="91"/>
      <c r="CF79" s="97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</row>
    <row r="80" spans="1:99">
      <c r="A80" s="9" t="s">
        <v>43</v>
      </c>
      <c r="B80" s="47"/>
      <c r="C80" s="48"/>
      <c r="D80" s="22" t="s">
        <v>15</v>
      </c>
      <c r="E80" s="227">
        <f>SUM(E78:E79)</f>
        <v>35</v>
      </c>
      <c r="F80" s="124"/>
      <c r="G80" s="124">
        <f>SUM(G78:G79)</f>
        <v>69</v>
      </c>
      <c r="H80" s="52"/>
      <c r="I80" s="52">
        <f>SUM(I78:I79)</f>
        <v>69</v>
      </c>
      <c r="J80" s="52"/>
      <c r="K80" s="52"/>
      <c r="L80" s="52"/>
      <c r="M80" s="52"/>
      <c r="BM80" s="91"/>
      <c r="BN80" s="91"/>
      <c r="BO80" s="91"/>
      <c r="BP80" s="91"/>
      <c r="BQ80" s="91"/>
      <c r="BR80" s="91"/>
      <c r="BS80" s="91"/>
      <c r="BT80" s="91"/>
      <c r="BU80" s="91"/>
      <c r="BV80" s="91"/>
      <c r="BW80" s="91"/>
      <c r="BX80" s="91"/>
      <c r="BY80" s="91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1"/>
      <c r="CL80" s="91"/>
      <c r="CM80" s="91"/>
      <c r="CN80" s="91"/>
      <c r="CO80" s="91"/>
      <c r="CP80" s="91"/>
      <c r="CQ80" s="91"/>
      <c r="CR80" s="91"/>
      <c r="CS80" s="91"/>
      <c r="CT80" s="91"/>
      <c r="CU80" s="91"/>
    </row>
    <row r="81" spans="1:99" ht="15.75" thickBot="1">
      <c r="A81" s="84" t="s">
        <v>44</v>
      </c>
      <c r="B81" s="3"/>
      <c r="C81" s="6"/>
      <c r="D81" s="22" t="s">
        <v>15</v>
      </c>
      <c r="E81" s="122">
        <v>2286</v>
      </c>
      <c r="F81" s="122"/>
      <c r="G81" s="122">
        <v>6447</v>
      </c>
      <c r="H81" s="54"/>
      <c r="I81" s="54">
        <v>6447</v>
      </c>
      <c r="J81" s="54"/>
      <c r="K81" s="54"/>
      <c r="L81" s="54"/>
      <c r="M81" s="54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10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100"/>
      <c r="CO81" s="90"/>
      <c r="CP81" s="90"/>
      <c r="CQ81" s="90"/>
      <c r="CR81" s="90"/>
      <c r="CS81" s="90"/>
      <c r="CT81" s="90"/>
      <c r="CU81" s="90"/>
    </row>
    <row r="82" spans="1:99" ht="15.75" thickBot="1">
      <c r="A82" s="50"/>
      <c r="B82" s="50"/>
      <c r="C82" s="50"/>
      <c r="D82" s="24"/>
    </row>
    <row r="83" spans="1:99" ht="15.75" thickBot="1">
      <c r="A83" s="21"/>
      <c r="B83" s="50"/>
      <c r="C83" s="50"/>
      <c r="D83" s="50"/>
    </row>
    <row r="84" spans="1:99">
      <c r="A84" s="40" t="s">
        <v>51</v>
      </c>
      <c r="B84" s="19"/>
      <c r="C84" s="20"/>
      <c r="D84" s="20" t="s">
        <v>18</v>
      </c>
      <c r="E84" s="125">
        <f>E63/(E69-E68)</f>
        <v>3.9350189035916826E-2</v>
      </c>
      <c r="F84" s="125"/>
      <c r="G84" s="125">
        <f>G63/(G69-G68)</f>
        <v>0.18107427917267918</v>
      </c>
      <c r="H84" s="55"/>
      <c r="I84" s="55">
        <f>I63/(I69-I68)</f>
        <v>0.18107427917267918</v>
      </c>
      <c r="J84" s="55"/>
      <c r="K84" s="55"/>
      <c r="L84" s="55"/>
      <c r="M84" s="55"/>
    </row>
    <row r="85" spans="1:99">
      <c r="A85" s="41" t="s">
        <v>52</v>
      </c>
      <c r="B85" s="47"/>
      <c r="C85" s="48"/>
      <c r="D85" s="48" t="s">
        <v>18</v>
      </c>
      <c r="E85" s="126">
        <f>E75/(E81-E80)</f>
        <v>3.8689471346068406E-2</v>
      </c>
      <c r="F85" s="126"/>
      <c r="G85" s="126">
        <f>G75/(G81-G80)</f>
        <v>5.7229407572906871E-2</v>
      </c>
      <c r="H85" s="62"/>
      <c r="I85" s="62">
        <f>I75/(I81-I80)</f>
        <v>5.7229407572906871E-2</v>
      </c>
      <c r="J85" s="62"/>
      <c r="K85" s="62"/>
      <c r="L85" s="62"/>
      <c r="M85" s="62"/>
    </row>
    <row r="86" spans="1:99">
      <c r="A86" s="41" t="s">
        <v>53</v>
      </c>
      <c r="B86" s="47"/>
      <c r="C86" s="48"/>
      <c r="D86" s="48" t="s">
        <v>18</v>
      </c>
      <c r="E86" s="125">
        <f>IF(E68=0,0,(E60+E61)/E68)</f>
        <v>3.2424242424242418E-2</v>
      </c>
      <c r="F86" s="125"/>
      <c r="G86" s="125">
        <f>IF(G68=0,0,(G60+G61)/G68)</f>
        <v>3.0665337142857144E-2</v>
      </c>
      <c r="H86" s="55"/>
      <c r="I86" s="55">
        <f>IF(I68=0,0,(I60+I61)/I68)</f>
        <v>3.0665337142857144E-2</v>
      </c>
      <c r="J86" s="55"/>
      <c r="K86" s="55"/>
      <c r="L86" s="55"/>
      <c r="M86" s="55"/>
    </row>
    <row r="87" spans="1:99" ht="15.75" thickBot="1">
      <c r="A87" s="42" t="s">
        <v>54</v>
      </c>
      <c r="B87" s="3"/>
      <c r="C87" s="6"/>
      <c r="D87" s="6" t="s">
        <v>18</v>
      </c>
      <c r="E87" s="125">
        <f>IF(E80=0,0,(E72+E73)/E80)</f>
        <v>3.905714285714286E-2</v>
      </c>
      <c r="F87" s="125"/>
      <c r="G87" s="125">
        <f>IF(G80=0,0,(G72+G73)/G80)</f>
        <v>2.8852731884057972E-2</v>
      </c>
      <c r="H87" s="55"/>
      <c r="I87" s="55">
        <f>IF(I80=0,0,(I72+I73)/I80)</f>
        <v>2.8852731884057972E-2</v>
      </c>
      <c r="J87" s="55"/>
      <c r="K87" s="55"/>
      <c r="L87" s="55"/>
      <c r="M87" s="55"/>
    </row>
    <row r="88" spans="1:99" ht="15.75" thickBot="1">
      <c r="A88" s="49"/>
      <c r="B88" s="50"/>
      <c r="C88" s="50"/>
      <c r="D88" s="50"/>
    </row>
    <row r="89" spans="1:99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  <c r="K89" s="75"/>
      <c r="L89" s="75"/>
      <c r="M89" s="75"/>
    </row>
    <row r="90" spans="1:99">
      <c r="A90" s="41" t="s">
        <v>56</v>
      </c>
      <c r="B90" s="25"/>
      <c r="C90" s="48"/>
      <c r="D90" s="48" t="s">
        <v>16</v>
      </c>
      <c r="E90" s="126">
        <f>IF(E87=0,0,E86/E87)</f>
        <v>0.83017445855777949</v>
      </c>
      <c r="F90" s="126"/>
      <c r="G90" s="126">
        <f>IF(G87=0,0,G86/G87)</f>
        <v>1.0628226563114702</v>
      </c>
      <c r="H90" s="62"/>
      <c r="I90" s="62">
        <f>IF(I87=0,0,I86/I87)</f>
        <v>1.0628226563114702</v>
      </c>
      <c r="J90" s="62"/>
      <c r="K90" s="62"/>
      <c r="L90" s="62"/>
      <c r="M90" s="62"/>
    </row>
    <row r="91" spans="1:99">
      <c r="A91" s="41" t="s">
        <v>57</v>
      </c>
      <c r="B91" s="25"/>
      <c r="C91" s="48"/>
      <c r="D91" s="48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  <c r="K91" s="62"/>
      <c r="L91" s="62"/>
      <c r="M91" s="62"/>
    </row>
    <row r="92" spans="1:99" ht="15.75" thickBot="1">
      <c r="A92" s="42" t="s">
        <v>58</v>
      </c>
      <c r="B92" s="31"/>
      <c r="C92" s="6"/>
      <c r="D92" s="6" t="s">
        <v>16</v>
      </c>
      <c r="E92" s="125">
        <f>IF(E85=0,0,E84/E85)</f>
        <v>1.0170774545854724</v>
      </c>
      <c r="F92" s="125"/>
      <c r="G92" s="125">
        <f>IF(G85=0,0,G84/G85)</f>
        <v>3.1640075767340643</v>
      </c>
      <c r="H92" s="55"/>
      <c r="I92" s="55">
        <f>IF(I85=0,0,I84/I85)</f>
        <v>3.1640075767340643</v>
      </c>
      <c r="J92" s="55"/>
      <c r="K92" s="55"/>
      <c r="L92" s="55"/>
      <c r="M92" s="55"/>
    </row>
    <row r="93" spans="1:99" ht="15.75" thickBot="1">
      <c r="A93" s="21"/>
      <c r="B93" s="50"/>
      <c r="C93" s="50"/>
      <c r="D93" s="50"/>
    </row>
    <row r="94" spans="1:99" ht="15.75" thickBot="1">
      <c r="A94" s="21"/>
      <c r="B94" s="50"/>
      <c r="C94" s="50"/>
      <c r="D94" s="23"/>
    </row>
    <row r="95" spans="1:99">
      <c r="A95" s="33" t="s">
        <v>63</v>
      </c>
      <c r="B95" s="43"/>
      <c r="C95" s="43"/>
      <c r="D95" s="22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  <c r="K95" s="56"/>
      <c r="L95" s="56"/>
      <c r="M95" s="56"/>
    </row>
    <row r="96" spans="1:99" ht="15.75" thickBot="1">
      <c r="A96" s="34" t="s">
        <v>64</v>
      </c>
      <c r="B96" s="44"/>
      <c r="C96" s="44"/>
      <c r="D96" s="22" t="s">
        <v>18</v>
      </c>
      <c r="E96" s="128">
        <f>(E60+E61)*(E90-E92)/2</f>
        <v>-9.9993102874815679E-2</v>
      </c>
      <c r="F96" s="128"/>
      <c r="G96" s="128">
        <f>(G60+G61)*(G90-G92)/2</f>
        <v>-2.2551740394486206</v>
      </c>
      <c r="H96" s="57"/>
      <c r="I96" s="57">
        <f>(I60+I61)*(I90-I92)/2</f>
        <v>-2.2551740394486206</v>
      </c>
      <c r="J96" s="57"/>
      <c r="K96" s="57"/>
      <c r="L96" s="57"/>
      <c r="M96" s="57"/>
    </row>
    <row r="97" spans="1:13">
      <c r="A97" s="50"/>
      <c r="B97" s="50"/>
      <c r="C97" s="50"/>
      <c r="D97" s="22"/>
    </row>
    <row r="98" spans="1:13" ht="15.75" thickBot="1">
      <c r="A98" s="38" t="s">
        <v>65</v>
      </c>
      <c r="B98" s="39"/>
      <c r="C98" s="39"/>
      <c r="D98" s="22"/>
      <c r="E98" s="118"/>
      <c r="F98" s="118"/>
      <c r="G98" s="118"/>
      <c r="H98" s="83"/>
      <c r="I98" s="83"/>
      <c r="J98" s="83"/>
      <c r="K98" s="83"/>
      <c r="L98" s="83"/>
      <c r="M98" s="83"/>
    </row>
    <row r="99" spans="1:13">
      <c r="A99" s="35" t="s">
        <v>47</v>
      </c>
      <c r="B99" s="19"/>
      <c r="C99" s="20"/>
      <c r="D99" s="22" t="s">
        <v>16</v>
      </c>
      <c r="E99" s="129">
        <f>E100/E42</f>
        <v>2.3198744926122603</v>
      </c>
      <c r="F99" s="129"/>
      <c r="G99" s="129">
        <f>G100/G42</f>
        <v>8.7776676210079358</v>
      </c>
      <c r="H99" s="58"/>
      <c r="I99" s="58">
        <f>I100/I42</f>
        <v>2.4871831026346758</v>
      </c>
      <c r="J99" s="58"/>
      <c r="K99" s="58"/>
      <c r="L99" s="58"/>
      <c r="M99" s="58"/>
    </row>
    <row r="100" spans="1:13">
      <c r="A100" s="36" t="s">
        <v>48</v>
      </c>
      <c r="B100" s="47"/>
      <c r="C100" s="48"/>
      <c r="D100" s="22" t="s">
        <v>18</v>
      </c>
      <c r="E100" s="130">
        <f>E42+E101</f>
        <v>29.448486809220036</v>
      </c>
      <c r="F100" s="130"/>
      <c r="G100" s="130">
        <f>G42+G101</f>
        <v>111.61256429994074</v>
      </c>
      <c r="H100" s="59"/>
      <c r="I100" s="59">
        <f>I42+I101</f>
        <v>31.625814049297766</v>
      </c>
      <c r="J100" s="59"/>
      <c r="K100" s="59"/>
      <c r="L100" s="59"/>
      <c r="M100" s="59"/>
    </row>
    <row r="101" spans="1:13">
      <c r="A101" s="36" t="s">
        <v>49</v>
      </c>
      <c r="B101" s="47"/>
      <c r="C101" s="48"/>
      <c r="D101" s="22" t="s">
        <v>18</v>
      </c>
      <c r="E101" s="131">
        <f>E49-(E95+E96)</f>
        <v>16.754486809220037</v>
      </c>
      <c r="F101" s="131"/>
      <c r="G101" s="131">
        <f>G49-(G95+G96)</f>
        <v>98.897049299940747</v>
      </c>
      <c r="H101" s="60"/>
      <c r="I101" s="60">
        <f>I49-(I95+I96)</f>
        <v>18.910299049297763</v>
      </c>
      <c r="J101" s="60"/>
      <c r="K101" s="60"/>
      <c r="L101" s="60"/>
      <c r="M101" s="60"/>
    </row>
    <row r="102" spans="1:13" ht="15.75" thickBot="1">
      <c r="A102" s="37" t="s">
        <v>50</v>
      </c>
      <c r="B102" s="3"/>
      <c r="C102" s="6"/>
      <c r="D102" s="22" t="s">
        <v>17</v>
      </c>
      <c r="E102" s="132">
        <f>E101/E16</f>
        <v>1.3117758731715442E-2</v>
      </c>
      <c r="F102" s="132"/>
      <c r="G102" s="132">
        <f>G101/G16</f>
        <v>7.7430460674049323E-2</v>
      </c>
      <c r="H102" s="61"/>
      <c r="I102" s="61">
        <f>I101/I16</f>
        <v>1.4805630473669147E-2</v>
      </c>
      <c r="J102" s="61"/>
      <c r="K102" s="61"/>
      <c r="L102" s="61"/>
      <c r="M102" s="61"/>
    </row>
    <row r="103" spans="1:13" ht="15.75" thickBot="1">
      <c r="A103" s="50"/>
      <c r="B103" s="50"/>
      <c r="C103" s="50"/>
      <c r="D103" s="24"/>
    </row>
    <row r="105" spans="1:13" ht="15.75" thickBot="1">
      <c r="A105" s="168" t="s">
        <v>76</v>
      </c>
      <c r="B105" s="147"/>
      <c r="C105" s="147"/>
      <c r="D105" s="136"/>
      <c r="E105" s="136"/>
      <c r="F105" s="136"/>
      <c r="G105" s="136"/>
      <c r="H105" s="136"/>
      <c r="I105" s="136"/>
      <c r="J105" s="136"/>
      <c r="K105" s="136"/>
    </row>
    <row r="106" spans="1:13" ht="15.75" thickBot="1">
      <c r="A106" s="136"/>
      <c r="B106" s="136"/>
      <c r="C106" s="136"/>
      <c r="D106" s="145"/>
      <c r="E106" s="136"/>
      <c r="F106" s="136"/>
      <c r="G106" s="136"/>
      <c r="H106" s="136"/>
      <c r="I106" s="136"/>
      <c r="J106" s="136"/>
      <c r="K106" s="136"/>
    </row>
    <row r="107" spans="1:13">
      <c r="A107" s="143" t="s">
        <v>77</v>
      </c>
      <c r="B107" s="141"/>
      <c r="C107" s="141"/>
      <c r="D107" s="144"/>
      <c r="E107" s="136"/>
      <c r="F107" s="136"/>
      <c r="G107" s="136"/>
      <c r="H107" s="136"/>
      <c r="I107" s="136"/>
      <c r="J107" s="136"/>
      <c r="K107" s="136"/>
    </row>
    <row r="108" spans="1:13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  <c r="J108" s="136"/>
      <c r="K108" s="136"/>
    </row>
    <row r="109" spans="1:13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  <c r="K109" s="167"/>
    </row>
    <row r="110" spans="1:13">
      <c r="A110" s="140" t="s">
        <v>80</v>
      </c>
      <c r="B110" s="149"/>
      <c r="C110" s="149"/>
      <c r="D110" s="144" t="s">
        <v>15</v>
      </c>
      <c r="E110" s="152">
        <f>E9</f>
        <v>64</v>
      </c>
      <c r="F110" s="152">
        <f>F9</f>
        <v>10</v>
      </c>
      <c r="G110" s="152"/>
      <c r="H110" s="154"/>
      <c r="I110" s="166"/>
      <c r="J110" s="167"/>
      <c r="K110" s="167"/>
    </row>
    <row r="111" spans="1:13">
      <c r="A111" s="140" t="s">
        <v>81</v>
      </c>
      <c r="B111" s="149"/>
      <c r="C111" s="149"/>
      <c r="D111" s="144"/>
      <c r="E111" s="165" t="str">
        <f>IF(E110&gt;E109,"NO","YES")</f>
        <v>YES</v>
      </c>
      <c r="F111" s="165" t="str">
        <f>IF(F110&gt;F109,"NO","YES")</f>
        <v>YES</v>
      </c>
      <c r="G111" s="165"/>
      <c r="H111" s="156"/>
      <c r="I111" s="166" t="s">
        <v>82</v>
      </c>
      <c r="J111" s="167"/>
      <c r="K111" s="167"/>
    </row>
    <row r="112" spans="1:13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12</v>
      </c>
      <c r="G112" s="152"/>
      <c r="H112" s="154"/>
      <c r="I112" s="166"/>
      <c r="J112" s="167"/>
      <c r="K112" s="167"/>
    </row>
    <row r="113" spans="1:11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10.201405152224824</v>
      </c>
      <c r="G113" s="172"/>
      <c r="H113" s="161"/>
      <c r="I113" s="166"/>
      <c r="J113" s="167"/>
      <c r="K113" s="167"/>
    </row>
    <row r="114" spans="1:11">
      <c r="A114" s="148" t="s">
        <v>85</v>
      </c>
      <c r="B114" s="149"/>
      <c r="C114" s="149"/>
      <c r="D114" s="144"/>
      <c r="E114" s="165" t="str">
        <f>IF(E110&gt;E113,"NO","YES")</f>
        <v>YES</v>
      </c>
      <c r="F114" s="165" t="str">
        <f>IF(F110&gt;F113,"NO","YES")</f>
        <v>YES</v>
      </c>
      <c r="G114" s="165"/>
      <c r="H114" s="156"/>
      <c r="I114" s="166" t="s">
        <v>86</v>
      </c>
      <c r="J114" s="167"/>
      <c r="K114" s="167"/>
    </row>
    <row r="115" spans="1:11">
      <c r="A115" s="148" t="s">
        <v>87</v>
      </c>
      <c r="B115" s="149"/>
      <c r="C115" s="149"/>
      <c r="D115" s="144" t="s">
        <v>17</v>
      </c>
      <c r="E115" s="163">
        <f>SQRT((1.65*1.65)*0.5*(1-0.5)/E110)</f>
        <v>0.10312499999999999</v>
      </c>
      <c r="F115" s="163">
        <f>SQRT((1.65*1.65)*0.5*(1-0.5)/F110)</f>
        <v>0.2608879069638913</v>
      </c>
      <c r="G115" s="163"/>
      <c r="H115" s="161"/>
      <c r="I115" s="166"/>
      <c r="J115" s="167"/>
      <c r="K115" s="167"/>
    </row>
    <row r="116" spans="1:11">
      <c r="A116" s="148" t="s">
        <v>88</v>
      </c>
      <c r="B116" s="149"/>
      <c r="C116" s="149"/>
      <c r="D116" s="144" t="s">
        <v>15</v>
      </c>
      <c r="E116" s="164">
        <f>E6</f>
        <v>8</v>
      </c>
      <c r="F116" s="164">
        <f>F6</f>
        <v>8</v>
      </c>
      <c r="G116" s="164"/>
      <c r="H116" s="161"/>
      <c r="I116" s="166"/>
      <c r="J116" s="167"/>
      <c r="K116" s="167"/>
    </row>
    <row r="117" spans="1:11" s="203" customFormat="1" ht="15.75" thickBot="1">
      <c r="A117" s="197" t="s">
        <v>89</v>
      </c>
      <c r="B117" s="198"/>
      <c r="C117" s="198"/>
      <c r="D117" s="199" t="s">
        <v>15</v>
      </c>
      <c r="E117" s="200">
        <f>(E115-E108)*E6</f>
        <v>2.4999999999999911E-2</v>
      </c>
      <c r="F117" s="200">
        <f>(F115-F108)*F6</f>
        <v>1.2871032557111304</v>
      </c>
      <c r="G117" s="200"/>
      <c r="H117" s="201"/>
      <c r="I117" s="202" t="s">
        <v>90</v>
      </c>
    </row>
    <row r="118" spans="1:11" ht="15.75" thickBot="1">
      <c r="A118" s="148" t="s">
        <v>182</v>
      </c>
      <c r="B118" s="136"/>
      <c r="C118" s="136"/>
      <c r="D118" s="146" t="s">
        <v>15</v>
      </c>
      <c r="E118" s="136">
        <f>E6/E9*(1-(E115-E108))</f>
        <v>0.12460937499999999</v>
      </c>
      <c r="F118" s="136">
        <f>F6/F9*(1-(F115-F108))</f>
        <v>0.67128967442888698</v>
      </c>
      <c r="G118" s="136"/>
      <c r="H118" s="136"/>
      <c r="I118" s="136"/>
      <c r="J118" s="136"/>
      <c r="K118" s="136"/>
    </row>
    <row r="119" spans="1:11">
      <c r="A119" s="148" t="s">
        <v>183</v>
      </c>
      <c r="B119" s="82"/>
      <c r="C119" s="82"/>
      <c r="D119" s="82"/>
      <c r="E119" s="102">
        <f>E6/E9</f>
        <v>0.125</v>
      </c>
      <c r="F119" s="102">
        <f>F6/F9</f>
        <v>0.8</v>
      </c>
    </row>
    <row r="120" spans="1:11">
      <c r="A120" s="148" t="s">
        <v>89</v>
      </c>
      <c r="B120" s="82"/>
      <c r="C120" s="82"/>
      <c r="D120" s="82"/>
      <c r="E120" s="102">
        <f>E118*E9</f>
        <v>7.9749999999999996</v>
      </c>
      <c r="F120" s="102">
        <f>F118*F9</f>
        <v>6.7128967442888694</v>
      </c>
    </row>
    <row r="121" spans="1:11">
      <c r="A121" s="82"/>
      <c r="B121" s="82"/>
      <c r="C121" s="82"/>
      <c r="D121" s="82"/>
    </row>
    <row r="122" spans="1:11" ht="15.75" thickBot="1">
      <c r="A122" s="168" t="s">
        <v>91</v>
      </c>
      <c r="B122" s="147"/>
      <c r="C122" s="147"/>
      <c r="D122" s="136"/>
      <c r="E122" s="136"/>
      <c r="F122" s="136"/>
      <c r="G122" s="136"/>
      <c r="H122" s="136"/>
      <c r="I122" s="136"/>
      <c r="J122" s="136"/>
      <c r="K122" s="136"/>
    </row>
    <row r="123" spans="1:11" ht="15.75" thickBot="1">
      <c r="A123" s="136"/>
      <c r="B123" s="136"/>
      <c r="C123" s="136"/>
      <c r="D123" s="145"/>
      <c r="E123" s="136"/>
      <c r="F123" s="136"/>
      <c r="G123" s="136"/>
      <c r="H123" s="136"/>
      <c r="I123" s="136"/>
      <c r="J123" s="136"/>
      <c r="K123" s="136"/>
    </row>
    <row r="124" spans="1:11">
      <c r="A124" s="143" t="s">
        <v>77</v>
      </c>
      <c r="B124" s="141"/>
      <c r="C124" s="142"/>
      <c r="D124" s="144"/>
      <c r="E124" s="136"/>
      <c r="F124" s="136"/>
      <c r="G124" s="136"/>
      <c r="H124" s="136"/>
      <c r="I124" s="136"/>
      <c r="J124" s="136"/>
      <c r="K124" s="136"/>
    </row>
    <row r="125" spans="1:11">
      <c r="A125" s="157" t="s">
        <v>92</v>
      </c>
      <c r="B125" s="158"/>
      <c r="C125" s="159"/>
      <c r="D125" s="144" t="s">
        <v>18</v>
      </c>
      <c r="E125" s="135">
        <f>E49</f>
        <v>16.654493706345221</v>
      </c>
      <c r="F125" s="218">
        <f>I49</f>
        <v>16.655125009849144</v>
      </c>
      <c r="G125" s="135"/>
      <c r="H125" s="135"/>
      <c r="I125" s="166"/>
      <c r="J125" s="167"/>
      <c r="K125" s="167"/>
    </row>
    <row r="126" spans="1:11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  <c r="K126" s="167"/>
    </row>
    <row r="127" spans="1:11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  <c r="K127" s="167"/>
    </row>
    <row r="128" spans="1:11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  <c r="K128" s="167"/>
    </row>
    <row r="129" spans="1:17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16.654493706345221</v>
      </c>
      <c r="F129" s="209">
        <f>F125-(F128/40075)*F126*F125</f>
        <v>16.655125009849144</v>
      </c>
      <c r="G129" s="170"/>
      <c r="H129" s="170"/>
      <c r="I129" s="166"/>
      <c r="J129" s="167"/>
      <c r="K129" s="167"/>
    </row>
    <row r="130" spans="1:17" ht="15.75" thickBot="1">
      <c r="A130" s="136"/>
      <c r="B130" s="136"/>
      <c r="C130" s="136"/>
      <c r="D130" s="146"/>
      <c r="E130" s="136"/>
      <c r="F130" s="136"/>
      <c r="G130" s="136"/>
      <c r="H130" s="136"/>
      <c r="I130" s="136"/>
      <c r="J130" s="136"/>
      <c r="K130" s="136"/>
    </row>
    <row r="131" spans="1:17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7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7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</row>
    <row r="134" spans="1:17">
      <c r="A134" s="136" t="s">
        <v>98</v>
      </c>
      <c r="B134" s="136"/>
      <c r="C134" s="136"/>
      <c r="D134" s="136" t="s">
        <v>15</v>
      </c>
      <c r="E134" s="136">
        <v>2</v>
      </c>
      <c r="F134" s="136"/>
      <c r="G134" s="136"/>
      <c r="H134" s="137" t="s">
        <v>99</v>
      </c>
      <c r="I134" s="137"/>
      <c r="J134" s="136"/>
      <c r="K134" s="136"/>
      <c r="L134" s="136"/>
      <c r="M134" s="136"/>
      <c r="N134" s="136"/>
      <c r="O134" s="136"/>
      <c r="P134" s="136"/>
      <c r="Q134" s="136"/>
    </row>
    <row r="135" spans="1:17" s="136" customFormat="1">
      <c r="A135" s="136" t="s">
        <v>138</v>
      </c>
      <c r="D135" s="136" t="s">
        <v>18</v>
      </c>
      <c r="E135" s="136">
        <v>0.14624999999999999</v>
      </c>
      <c r="H135" s="137"/>
      <c r="I135" s="137"/>
    </row>
    <row r="136" spans="1:17">
      <c r="A136" s="136" t="s">
        <v>100</v>
      </c>
      <c r="B136" s="136"/>
      <c r="C136" s="136"/>
      <c r="D136" s="136" t="s">
        <v>18</v>
      </c>
      <c r="E136" s="136">
        <v>0.14624999999999999</v>
      </c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</row>
    <row r="137" spans="1:17" ht="15.75">
      <c r="A137" s="136" t="s">
        <v>101</v>
      </c>
      <c r="B137" s="136"/>
      <c r="C137" s="136"/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  <c r="K137" s="155"/>
      <c r="L137" s="155"/>
      <c r="M137" s="155"/>
      <c r="N137" s="155"/>
      <c r="O137" s="155"/>
      <c r="P137" s="155"/>
      <c r="Q137" s="136"/>
    </row>
    <row r="138" spans="1:17" ht="15.75">
      <c r="A138" s="136" t="s">
        <v>103</v>
      </c>
      <c r="B138" s="136"/>
      <c r="C138" s="136"/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  <c r="K138" s="155"/>
      <c r="L138" s="155"/>
      <c r="M138" s="155"/>
      <c r="N138" s="155"/>
      <c r="O138" s="155"/>
      <c r="P138" s="155"/>
      <c r="Q138" s="136"/>
    </row>
    <row r="139" spans="1:17" ht="15.75">
      <c r="A139" s="136" t="s">
        <v>104</v>
      </c>
      <c r="B139" s="136"/>
      <c r="C139" s="136"/>
      <c r="D139" s="136" t="s">
        <v>15</v>
      </c>
      <c r="E139" s="175">
        <v>3</v>
      </c>
      <c r="F139" s="136"/>
      <c r="G139" s="136"/>
      <c r="H139" s="147"/>
      <c r="I139" s="147"/>
      <c r="J139" s="174"/>
      <c r="K139" s="155"/>
      <c r="L139" s="155"/>
      <c r="M139" s="155"/>
      <c r="N139" s="155"/>
      <c r="O139" s="155"/>
      <c r="P139" s="155"/>
      <c r="Q139" s="136"/>
    </row>
    <row r="140" spans="1:17" ht="15.75">
      <c r="A140" s="136" t="s">
        <v>105</v>
      </c>
      <c r="B140" s="136"/>
      <c r="C140" s="136"/>
      <c r="D140" s="136" t="s">
        <v>106</v>
      </c>
      <c r="E140" s="231">
        <f>D150-B150</f>
        <v>6.3130350392270884E-4</v>
      </c>
      <c r="F140" s="136"/>
      <c r="G140" s="136"/>
      <c r="H140" s="147"/>
      <c r="I140" s="147"/>
      <c r="J140" s="174"/>
      <c r="K140" s="155"/>
      <c r="L140" s="155"/>
      <c r="M140" s="155"/>
      <c r="N140" s="155"/>
      <c r="O140" s="155"/>
      <c r="P140" s="155"/>
      <c r="Q140" s="136"/>
    </row>
    <row r="141" spans="1:17" ht="15.75">
      <c r="A141" s="136"/>
      <c r="B141" s="136"/>
      <c r="C141" s="136"/>
      <c r="D141" s="136"/>
      <c r="E141" s="136"/>
      <c r="F141" s="136"/>
      <c r="G141" s="136"/>
      <c r="H141" s="147"/>
      <c r="I141" s="147"/>
      <c r="J141" s="174" t="s">
        <v>107</v>
      </c>
      <c r="K141" s="155"/>
      <c r="L141" s="155"/>
      <c r="M141" s="155"/>
      <c r="N141" s="155"/>
      <c r="O141" s="155"/>
      <c r="P141" s="155"/>
      <c r="Q141" s="136"/>
    </row>
    <row r="142" spans="1:17">
      <c r="A142" s="136"/>
      <c r="B142" s="136" t="s">
        <v>25</v>
      </c>
      <c r="C142" s="136"/>
      <c r="D142" s="136" t="s">
        <v>18</v>
      </c>
      <c r="E142" s="136"/>
      <c r="F142" s="136"/>
      <c r="G142" s="136" t="s">
        <v>108</v>
      </c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</row>
    <row r="143" spans="1:17" ht="15.75">
      <c r="A143" s="136"/>
      <c r="B143" s="136"/>
      <c r="C143" s="136"/>
      <c r="D143" s="136"/>
      <c r="E143" s="136"/>
      <c r="F143" s="136"/>
      <c r="G143" s="136"/>
      <c r="H143" s="136"/>
      <c r="I143" s="136"/>
      <c r="J143" s="176" t="s">
        <v>109</v>
      </c>
      <c r="K143" s="177"/>
      <c r="L143" s="177"/>
      <c r="M143" s="177"/>
      <c r="N143" s="177"/>
      <c r="O143" s="177"/>
      <c r="P143" s="177"/>
      <c r="Q143" s="136"/>
    </row>
    <row r="144" spans="1:17" ht="15.75">
      <c r="A144" s="136"/>
      <c r="B144" s="136" t="s">
        <v>110</v>
      </c>
      <c r="C144" s="136"/>
      <c r="D144" s="136"/>
      <c r="E144" s="136"/>
      <c r="F144" s="136"/>
      <c r="G144" s="136"/>
      <c r="H144" s="136"/>
      <c r="I144" s="136"/>
      <c r="J144" s="176" t="s">
        <v>111</v>
      </c>
      <c r="K144" s="177"/>
      <c r="L144" s="177"/>
      <c r="M144" s="177"/>
      <c r="N144" s="177"/>
      <c r="O144" s="177"/>
      <c r="P144" s="177"/>
      <c r="Q144" s="136"/>
    </row>
    <row r="145" spans="1:17" ht="15.75">
      <c r="A145" s="136"/>
      <c r="B145" s="136"/>
      <c r="C145" s="136"/>
      <c r="D145" s="136"/>
      <c r="E145" s="136"/>
      <c r="F145" s="136"/>
      <c r="G145" s="136"/>
      <c r="H145" s="136"/>
      <c r="I145" s="136"/>
      <c r="J145" s="176" t="s">
        <v>112</v>
      </c>
      <c r="K145" s="177"/>
      <c r="L145" s="177"/>
      <c r="M145" s="177"/>
      <c r="N145" s="177"/>
      <c r="O145" s="177"/>
      <c r="P145" s="177"/>
      <c r="Q145" s="136"/>
    </row>
    <row r="146" spans="1:17" ht="15.75">
      <c r="A146" s="136"/>
      <c r="B146" s="155" t="s">
        <v>113</v>
      </c>
      <c r="C146" s="136"/>
      <c r="D146" s="177" t="s">
        <v>114</v>
      </c>
      <c r="E146" s="136"/>
      <c r="F146" s="178" t="s">
        <v>115</v>
      </c>
      <c r="G146" s="136"/>
      <c r="H146" s="136"/>
      <c r="I146" s="136"/>
      <c r="J146" s="179" t="s">
        <v>116</v>
      </c>
      <c r="K146" s="136"/>
      <c r="L146" s="136"/>
      <c r="M146" s="136"/>
      <c r="N146" s="136"/>
      <c r="O146" s="136"/>
      <c r="P146" s="136"/>
      <c r="Q146" s="136"/>
    </row>
    <row r="147" spans="1:17">
      <c r="A147" s="136"/>
      <c r="B147" s="136" t="s">
        <v>117</v>
      </c>
      <c r="C147" s="136"/>
      <c r="D147" s="136" t="s">
        <v>118</v>
      </c>
      <c r="E147" s="136"/>
      <c r="F147" s="136" t="s">
        <v>119</v>
      </c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</row>
    <row r="148" spans="1:17" ht="15.75">
      <c r="A148" s="136"/>
      <c r="B148" s="136" t="s">
        <v>120</v>
      </c>
      <c r="C148" s="136"/>
      <c r="D148" s="136" t="s">
        <v>121</v>
      </c>
      <c r="E148" s="136"/>
      <c r="F148" s="136" t="s">
        <v>122</v>
      </c>
      <c r="G148" s="136"/>
      <c r="H148" s="136"/>
      <c r="I148" s="136"/>
      <c r="J148" s="180" t="s">
        <v>123</v>
      </c>
      <c r="K148" s="178"/>
      <c r="L148" s="178"/>
      <c r="M148" s="178"/>
      <c r="N148" s="178"/>
      <c r="O148" s="178"/>
      <c r="P148" s="178"/>
      <c r="Q148" s="136"/>
    </row>
    <row r="149" spans="1:17" ht="15.75">
      <c r="A149" s="136"/>
      <c r="B149" s="136"/>
      <c r="C149" s="136"/>
      <c r="D149" s="136"/>
      <c r="E149" s="136"/>
      <c r="F149" s="136"/>
      <c r="G149" s="136"/>
      <c r="H149" s="136"/>
      <c r="I149" s="136"/>
      <c r="J149" s="180" t="s">
        <v>124</v>
      </c>
      <c r="K149" s="178"/>
      <c r="L149" s="178"/>
      <c r="M149" s="178"/>
      <c r="N149" s="178"/>
      <c r="O149" s="178"/>
      <c r="P149" s="178"/>
      <c r="Q149" s="136"/>
    </row>
    <row r="150" spans="1:17">
      <c r="A150" s="136" t="s">
        <v>125</v>
      </c>
      <c r="B150" s="211">
        <f>E49</f>
        <v>16.654493706345221</v>
      </c>
      <c r="C150" s="136"/>
      <c r="D150" s="212">
        <f>F129</f>
        <v>16.655125009849144</v>
      </c>
      <c r="E150" s="136"/>
      <c r="F150" s="137">
        <f>B150+(E140/E139)</f>
        <v>16.65470414084653</v>
      </c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</row>
    <row r="151" spans="1:17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</row>
    <row r="152" spans="1:17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</row>
    <row r="153" spans="1:17">
      <c r="A153" s="136"/>
      <c r="B153" s="136" t="s">
        <v>126</v>
      </c>
      <c r="C153" s="136"/>
      <c r="D153" s="136"/>
      <c r="E153" s="136"/>
      <c r="F153" s="136" t="s">
        <v>17</v>
      </c>
      <c r="G153" s="136"/>
      <c r="H153" s="181">
        <f>F150/B150-1</f>
        <v>1.2635298617835744E-5</v>
      </c>
      <c r="I153" s="136"/>
      <c r="J153" s="136"/>
      <c r="K153" s="136"/>
      <c r="L153" s="136"/>
      <c r="M153" s="136"/>
      <c r="N153" s="136"/>
      <c r="O153" s="136"/>
      <c r="P153" s="136"/>
      <c r="Q153" s="136"/>
    </row>
    <row r="154" spans="1:17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</row>
    <row r="155" spans="1:17">
      <c r="A155" s="136"/>
      <c r="B155" s="136" t="s">
        <v>127</v>
      </c>
      <c r="C155" s="136"/>
      <c r="D155" s="136"/>
      <c r="E155" s="136"/>
      <c r="F155" s="136" t="s">
        <v>128</v>
      </c>
      <c r="G155" s="136"/>
      <c r="H155" s="136">
        <f>E140</f>
        <v>6.3130350392270884E-4</v>
      </c>
      <c r="I155" s="136"/>
      <c r="J155" s="136"/>
      <c r="K155" s="136"/>
      <c r="L155" s="136"/>
      <c r="M155" s="136"/>
      <c r="N155" s="136"/>
      <c r="O155" s="136"/>
      <c r="P155" s="136"/>
      <c r="Q155" s="136"/>
    </row>
    <row r="156" spans="1:17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</row>
    <row r="157" spans="1:17">
      <c r="A157" s="136"/>
      <c r="B157" s="136" t="s">
        <v>129</v>
      </c>
      <c r="C157" s="136"/>
      <c r="D157" s="136"/>
      <c r="E157" s="136"/>
      <c r="F157" s="136" t="s">
        <v>17</v>
      </c>
      <c r="G157" s="136"/>
      <c r="H157" s="195">
        <f>E140/(E136*(E137))</f>
        <v>2.1583025775135347E-2</v>
      </c>
      <c r="I157" s="136"/>
      <c r="J157" s="136"/>
      <c r="K157" s="136"/>
      <c r="L157" s="136"/>
      <c r="M157" s="136"/>
      <c r="N157" s="136"/>
      <c r="O157" s="136"/>
      <c r="P157" s="136"/>
      <c r="Q157" s="136"/>
    </row>
    <row r="158" spans="1:17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</row>
    <row r="159" spans="1:17">
      <c r="A159" s="51" t="s">
        <v>130</v>
      </c>
      <c r="B159" s="136"/>
      <c r="C159" s="136"/>
      <c r="D159" s="136"/>
      <c r="E159" s="136"/>
      <c r="F159" s="136"/>
      <c r="G159" s="136"/>
      <c r="H159" s="136"/>
      <c r="I159" s="136"/>
      <c r="J159" s="196">
        <f>E140</f>
        <v>6.3130350392270884E-4</v>
      </c>
      <c r="K159" s="136"/>
      <c r="L159" s="136"/>
      <c r="M159" s="136"/>
      <c r="N159" s="136"/>
      <c r="O159" s="136"/>
      <c r="P159" s="136"/>
      <c r="Q159" s="136"/>
    </row>
    <row r="160" spans="1:17">
      <c r="A160" s="51" t="s">
        <v>131</v>
      </c>
      <c r="B160" s="136"/>
      <c r="C160" s="136"/>
      <c r="D160" s="136"/>
      <c r="E160" s="136"/>
      <c r="F160" s="136"/>
      <c r="G160" s="136"/>
      <c r="H160" s="136"/>
      <c r="I160" s="136"/>
      <c r="J160" s="136">
        <f>(E140*(E139/E134))/E135</f>
        <v>6.4749077325406039E-3</v>
      </c>
      <c r="K160" s="136"/>
      <c r="L160" s="136"/>
      <c r="M160" s="136"/>
      <c r="N160" s="136"/>
      <c r="O160" s="136"/>
      <c r="P160" s="136"/>
      <c r="Q160" s="136"/>
    </row>
    <row r="161" spans="1:17">
      <c r="A161" s="51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</row>
    <row r="162" spans="1:17">
      <c r="A162" s="182">
        <f>E140</f>
        <v>6.3130350392270884E-4</v>
      </c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</row>
    <row r="163" spans="1:17">
      <c r="A163" s="51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</row>
    <row r="164" spans="1:17">
      <c r="A164" s="51"/>
      <c r="B164" s="136"/>
      <c r="C164" s="136"/>
      <c r="D164" s="136"/>
      <c r="E164" s="136"/>
      <c r="F164" s="136"/>
      <c r="G164" s="136" t="s">
        <v>143</v>
      </c>
      <c r="H164" s="136" t="s">
        <v>144</v>
      </c>
      <c r="I164" s="136"/>
      <c r="J164" s="136"/>
      <c r="K164" s="136"/>
      <c r="L164" s="136"/>
      <c r="M164" s="136"/>
      <c r="N164" s="136"/>
      <c r="O164" s="136"/>
      <c r="P164" s="136"/>
      <c r="Q164" s="136"/>
    </row>
    <row r="165" spans="1:17">
      <c r="A165" s="51" t="s">
        <v>184</v>
      </c>
      <c r="B165" s="136"/>
      <c r="C165" s="136"/>
      <c r="D165" s="136"/>
      <c r="E165" s="136"/>
      <c r="F165" s="136" t="s">
        <v>17</v>
      </c>
      <c r="G165" s="193">
        <f>E140/((E138)*E136)</f>
        <v>5.3957564437838362E-2</v>
      </c>
      <c r="H165" s="204">
        <f>IF(E140/((E138)*E135)&gt;0,G165,0)</f>
        <v>5.3957564437838362E-2</v>
      </c>
      <c r="I165" s="136"/>
      <c r="J165" s="136"/>
      <c r="K165" s="136"/>
      <c r="L165" s="136"/>
      <c r="M165" s="136"/>
      <c r="N165" s="136"/>
      <c r="O165" s="136"/>
      <c r="P165" s="136"/>
      <c r="Q165" s="136"/>
    </row>
    <row r="166" spans="1:17">
      <c r="A166" s="51" t="s">
        <v>185</v>
      </c>
      <c r="B166" s="136"/>
      <c r="C166" s="136"/>
      <c r="D166" s="136"/>
      <c r="E166" s="136"/>
      <c r="F166" s="136" t="s">
        <v>17</v>
      </c>
      <c r="G166" s="194">
        <f>H157</f>
        <v>2.1583025775135347E-2</v>
      </c>
      <c r="H166" s="205">
        <f>IF(E140/((E137)*E135)&gt;0,G166,0)</f>
        <v>2.1583025775135347E-2</v>
      </c>
      <c r="I166" s="136"/>
      <c r="J166" s="136"/>
      <c r="K166" s="136"/>
      <c r="L166" s="136"/>
      <c r="M166" s="136"/>
      <c r="N166" s="136"/>
      <c r="O166" s="136"/>
      <c r="P166" s="136"/>
      <c r="Q166" s="136"/>
    </row>
    <row r="167" spans="1:17">
      <c r="A167" s="51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</row>
    <row r="168" spans="1:17">
      <c r="A168" s="51" t="s">
        <v>132</v>
      </c>
      <c r="B168" s="136"/>
      <c r="C168" s="136"/>
      <c r="D168" s="136"/>
      <c r="E168" s="136"/>
      <c r="F168" s="136" t="s">
        <v>17</v>
      </c>
      <c r="G168" s="193">
        <f>G165/E134*E139</f>
        <v>8.0936346656757543E-2</v>
      </c>
      <c r="H168" s="189">
        <f>IF(G165/E134*E139&gt;0,G168,0)</f>
        <v>8.0936346656757543E-2</v>
      </c>
      <c r="I168" s="136"/>
      <c r="J168" s="136"/>
      <c r="K168" s="136"/>
      <c r="L168" s="136"/>
      <c r="M168" s="136"/>
      <c r="N168" s="136"/>
      <c r="O168" s="136"/>
      <c r="P168" s="136"/>
      <c r="Q168" s="136"/>
    </row>
    <row r="169" spans="1:17">
      <c r="A169" s="51" t="s">
        <v>133</v>
      </c>
      <c r="B169" s="136"/>
      <c r="C169" s="136"/>
      <c r="D169" s="136"/>
      <c r="E169" s="136"/>
      <c r="F169" s="136" t="s">
        <v>17</v>
      </c>
      <c r="G169" s="193">
        <f>G166/E134*E139</f>
        <v>3.2374538662703019E-2</v>
      </c>
      <c r="H169" s="189">
        <f>IF(G166/E134*E139&gt;0,G169,0)</f>
        <v>3.2374538662703019E-2</v>
      </c>
      <c r="I169" s="136"/>
      <c r="J169" s="136"/>
      <c r="K169" s="136"/>
      <c r="L169" s="136"/>
      <c r="M169" s="136"/>
      <c r="N169" s="136"/>
      <c r="O169" s="136"/>
      <c r="P169" s="136"/>
      <c r="Q169" s="136"/>
    </row>
  </sheetData>
  <mergeCells count="6">
    <mergeCell ref="CM60:CM61"/>
    <mergeCell ref="A131:J132"/>
    <mergeCell ref="BO72:BO73"/>
    <mergeCell ref="CF60:CF61"/>
    <mergeCell ref="CF72:CF73"/>
    <mergeCell ref="CJ60:CJ6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9"/>
  <sheetViews>
    <sheetView topLeftCell="H1" workbookViewId="0">
      <selection activeCell="J1" sqref="A1:J104857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428.89719526706409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4</v>
      </c>
      <c r="F6" s="137">
        <v>405</v>
      </c>
      <c r="G6" s="103">
        <f>F120</f>
        <v>428.89719526706409</v>
      </c>
      <c r="H6" s="137"/>
      <c r="I6" s="137">
        <f>I3+($E$36*1000000)*E120</f>
        <v>29521.894104839368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68680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0</v>
      </c>
      <c r="F8" s="137">
        <v>0</v>
      </c>
      <c r="G8" s="103">
        <f>F8</f>
        <v>0</v>
      </c>
      <c r="H8" s="137"/>
      <c r="I8" s="137">
        <f>I5+($E$36*1000000)*E8</f>
        <v>0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14</v>
      </c>
      <c r="F9" s="67">
        <f>SUM(F6:F8)</f>
        <v>405</v>
      </c>
      <c r="G9" s="105">
        <f>SUM(G6:G8)</f>
        <v>428.89719526706409</v>
      </c>
      <c r="H9" s="67"/>
      <c r="I9" s="67">
        <f>SUM(I6:I8)</f>
        <v>98201.894104839361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4</v>
      </c>
      <c r="F10" s="106">
        <f>E6</f>
        <v>4</v>
      </c>
      <c r="G10" s="106">
        <f>G6</f>
        <v>428.89719526706409</v>
      </c>
      <c r="H10" s="68"/>
      <c r="I10" s="68">
        <f>I6</f>
        <v>29521.894104839368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0.2857142857142857</v>
      </c>
      <c r="F11" s="192">
        <f>F6/F9</f>
        <v>1</v>
      </c>
      <c r="G11" s="107">
        <f>G6/G9</f>
        <v>1</v>
      </c>
      <c r="H11" s="69"/>
      <c r="I11" s="191">
        <f>I6/I9</f>
        <v>0.30062448768373135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6.7227560000000004</v>
      </c>
      <c r="F13" s="103">
        <v>1.4159999999999999E-3</v>
      </c>
      <c r="G13" s="103">
        <f>E13+F13</f>
        <v>6.7241720000000003</v>
      </c>
      <c r="H13" s="103"/>
      <c r="I13" s="103">
        <f>E13+F13</f>
        <v>6.7241720000000003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0</v>
      </c>
      <c r="F23" s="103">
        <v>4.4999999999999999E-4</v>
      </c>
      <c r="G23" s="103">
        <f>E23+F23</f>
        <v>4.4999999999999999E-4</v>
      </c>
      <c r="H23" s="137"/>
      <c r="I23" s="103">
        <f>H23+G23</f>
        <v>4.4999999999999999E-4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6.868E-3</v>
      </c>
      <c r="F36" s="109"/>
      <c r="G36" s="208">
        <f>SUM(G23:G34)+G17/1000000</f>
        <v>7.3179999999999999E-3</v>
      </c>
      <c r="H36" s="75"/>
      <c r="I36" s="222">
        <f>SUM(I23:I34)+I17/1000000</f>
        <v>7.3179999999999999E-3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4</v>
      </c>
      <c r="F40" s="111"/>
      <c r="G40" s="111">
        <f>G10</f>
        <v>428.89719526706409</v>
      </c>
      <c r="H40" s="72"/>
      <c r="I40" s="72">
        <f>I10</f>
        <v>29521.894104839368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0.2857142857142857</v>
      </c>
      <c r="F41" s="112"/>
      <c r="G41" s="112">
        <f>G11</f>
        <v>1</v>
      </c>
      <c r="H41" s="74"/>
      <c r="I41" s="74">
        <f>I11</f>
        <v>0.30062448768373135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6.7227560000000004</v>
      </c>
      <c r="F42" s="112"/>
      <c r="G42" s="112">
        <f>G13</f>
        <v>6.7241720000000003</v>
      </c>
      <c r="H42" s="74"/>
      <c r="I42" s="74">
        <f>I13</f>
        <v>6.7241720000000003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5.268379108392172</v>
      </c>
      <c r="F44" s="112"/>
      <c r="G44" s="112">
        <f>(G36*G16/G15)*G6/G9</f>
        <v>18.865555777414482</v>
      </c>
      <c r="H44" s="87"/>
      <c r="I44" s="221">
        <f>(I36*I16/I15)*I6/I9</f>
        <v>5.6714480404540852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9.1227560000000008</v>
      </c>
      <c r="F45" s="112"/>
      <c r="G45" s="112">
        <f>G38+G13</f>
        <v>9.1241719999999997</v>
      </c>
      <c r="H45" s="74"/>
      <c r="I45" s="221">
        <f>I38+I13</f>
        <v>9.1241719999999997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2.2359157030825112</v>
      </c>
      <c r="F47" s="114"/>
      <c r="G47" s="114">
        <f>(G43+G38+G13+(G36*G16/G15)*G6/G9)/(G13*POWER(10,G14))</f>
        <v>4.2577894166619297</v>
      </c>
      <c r="H47" s="73"/>
      <c r="I47" s="219">
        <f>(I43+I38+I13+(I36*I16/I15)*I6/I9)/(I13*POWER(10,I14))</f>
        <v>2.2955987206237563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15.031515708392172</v>
      </c>
      <c r="F48" s="114"/>
      <c r="G48" s="114">
        <f>G13*G47</f>
        <v>28.630108377414484</v>
      </c>
      <c r="H48" s="73"/>
      <c r="I48" s="73">
        <f>I13*I47</f>
        <v>15.436000640454084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8.3087597083921718</v>
      </c>
      <c r="F49" s="114"/>
      <c r="G49" s="114">
        <f>G48-G13</f>
        <v>21.905936377414484</v>
      </c>
      <c r="H49" s="87"/>
      <c r="I49" s="219">
        <f>I48-I13</f>
        <v>8.7118286404540832</v>
      </c>
      <c r="J49" s="87">
        <f>I49-E49</f>
        <v>0.40306893206191141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1.0055379049246246E-2</v>
      </c>
      <c r="F50" s="115"/>
      <c r="G50" s="115">
        <f>G49/G16</f>
        <v>2.6510875441624695E-2</v>
      </c>
      <c r="H50" s="76"/>
      <c r="I50" s="76">
        <f>I49/I16</f>
        <v>1.0543178797596616E-2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4.2602530072364697E-2</v>
      </c>
      <c r="F52" s="117"/>
      <c r="G52" s="117">
        <f>G43/(G43+G44+G45)</f>
        <v>2.2367383020637774E-2</v>
      </c>
      <c r="H52" s="79"/>
      <c r="I52" s="79">
        <f>I43/(I43+I44+I45)</f>
        <v>4.1486173453615618E-2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0.35048888020326574</v>
      </c>
      <c r="F53" s="117"/>
      <c r="G53" s="117">
        <f>G44/(G43+G44+G45)</f>
        <v>0.65894112340479327</v>
      </c>
      <c r="H53" s="79"/>
      <c r="I53" s="79">
        <f>I44/(I43+I44+I45)</f>
        <v>0.36741693477198806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0.60690858972436945</v>
      </c>
      <c r="F54" s="117"/>
      <c r="G54" s="117">
        <f>G45/(G43+G44+G45)</f>
        <v>0.31869149357456894</v>
      </c>
      <c r="H54" s="79"/>
      <c r="I54" s="79">
        <f>I45/(I43+I44+I45)</f>
        <v>0.59109689177439617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2.1166154776485633</v>
      </c>
      <c r="F99" s="129"/>
      <c r="G99" s="129">
        <f>G100/G42</f>
        <v>2.6115720552221822</v>
      </c>
      <c r="H99" s="58"/>
      <c r="I99" s="58">
        <f>I100/I42</f>
        <v>0.64906800582794888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14.229489402054744</v>
      </c>
      <c r="F100" s="130"/>
      <c r="G100" s="130">
        <f>G42+G101</f>
        <v>17.560659689707453</v>
      </c>
      <c r="H100" s="59"/>
      <c r="I100" s="59">
        <f>I42+I101</f>
        <v>4.3644449108841306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7.5067334020547438</v>
      </c>
      <c r="F101" s="131"/>
      <c r="G101" s="131">
        <f>G49-(G95+G96)</f>
        <v>10.836487689707452</v>
      </c>
      <c r="H101" s="60"/>
      <c r="I101" s="60">
        <f>I49-(I95+I96)</f>
        <v>-2.3597270891158697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9.0847554181952613E-3</v>
      </c>
      <c r="F102" s="132"/>
      <c r="G102" s="132">
        <f>G101/G16</f>
        <v>1.3114471365977796E-2</v>
      </c>
      <c r="H102" s="61"/>
      <c r="I102" s="61">
        <f>I101/I16</f>
        <v>-2.8557752500494612E-3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405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4.0994579587496145E-2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4</v>
      </c>
      <c r="F116" s="164">
        <f>F6</f>
        <v>405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-0.23602168165001544</v>
      </c>
      <c r="F117" s="200">
        <f>(F115-F108)*F6</f>
        <v>-23.897195267064063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0.30257297726071536</v>
      </c>
      <c r="F118" s="136">
        <f>F6/F9*(1-(F115-F108))</f>
        <v>1.0590054204125039</v>
      </c>
      <c r="G118" s="136"/>
    </row>
    <row r="119" spans="1:10">
      <c r="A119" s="148" t="s">
        <v>183</v>
      </c>
      <c r="E119" s="102">
        <f>E6/E9</f>
        <v>0.2857142857142857</v>
      </c>
      <c r="F119" s="102">
        <f>F6/F9</f>
        <v>1</v>
      </c>
    </row>
    <row r="120" spans="1:10">
      <c r="A120" s="148" t="s">
        <v>89</v>
      </c>
      <c r="E120" s="102">
        <f>E118*E9</f>
        <v>4.2360216816500147</v>
      </c>
      <c r="F120" s="102">
        <f>F118*F9</f>
        <v>428.89719526706409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8.3087597083921718</v>
      </c>
      <c r="F125" s="218">
        <f>I49</f>
        <v>8.7118286404540832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8.3087597083921718</v>
      </c>
      <c r="F129" s="209">
        <f>F125-(F128/40075)*F126*F125</f>
        <v>8.7117634240200932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0.40300371562792137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8.3087597083921718</v>
      </c>
      <c r="D150" s="212">
        <f>F129</f>
        <v>8.7117634240200932</v>
      </c>
      <c r="E150" s="136"/>
      <c r="F150" s="137">
        <f>B150+(E140/E139)</f>
        <v>8.443094280268145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1.6167824872861614E-2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0.40300371562792137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13.777904807792185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0.40300371562792137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4.1333714423376549</v>
      </c>
    </row>
    <row r="161" spans="1:8">
      <c r="A161" s="51"/>
      <c r="E161" s="136"/>
      <c r="F161" s="136"/>
      <c r="G161" s="136"/>
    </row>
    <row r="162" spans="1:8">
      <c r="A162" s="182">
        <f>E140</f>
        <v>0.40300371562792137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34.444762019480457</v>
      </c>
      <c r="H165" s="204">
        <f>IF(E140/((E138)*E135)&gt;0,G165,0)</f>
        <v>34.444762019480457</v>
      </c>
    </row>
    <row r="166" spans="1:8">
      <c r="A166" s="51" t="s">
        <v>185</v>
      </c>
      <c r="E166" s="136"/>
      <c r="F166" s="136" t="s">
        <v>17</v>
      </c>
      <c r="G166" s="194">
        <f>H157</f>
        <v>13.777904807792185</v>
      </c>
      <c r="H166" s="205">
        <f>IF(E140/((E137)*E135)&gt;0,G166,0)</f>
        <v>13.777904807792185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51.667143029220682</v>
      </c>
      <c r="H168" s="189">
        <f>IF(G165/E134*E139&gt;0,G168,0)</f>
        <v>51.667143029220682</v>
      </c>
    </row>
    <row r="169" spans="1:8">
      <c r="A169" s="51" t="s">
        <v>133</v>
      </c>
      <c r="E169" s="136"/>
      <c r="F169" s="136" t="s">
        <v>17</v>
      </c>
      <c r="G169" s="193">
        <f>G166/E134*E139</f>
        <v>20.666857211688278</v>
      </c>
      <c r="H169" s="189">
        <f>IF(G166/E134*E139&gt;0,G169,0)</f>
        <v>20.666857211688278</v>
      </c>
    </row>
  </sheetData>
  <mergeCells count="1">
    <mergeCell ref="A131:J1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42FE-B346-45B9-B3E7-A2B105A04F42}">
  <dimension ref="A1:J169"/>
  <sheetViews>
    <sheetView topLeftCell="A10" workbookViewId="0">
      <selection activeCell="F25" sqref="F25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428.89719526706409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4</v>
      </c>
      <c r="F6" s="137">
        <v>405</v>
      </c>
      <c r="G6" s="103">
        <f>F120</f>
        <v>428.89719526706409</v>
      </c>
      <c r="H6" s="137"/>
      <c r="I6" s="137">
        <f>I3+($E$36*1000000)*E120</f>
        <v>31428.103861581872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73180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0</v>
      </c>
      <c r="F8" s="137">
        <v>0</v>
      </c>
      <c r="G8" s="103">
        <f>F8</f>
        <v>0</v>
      </c>
      <c r="H8" s="137"/>
      <c r="I8" s="137">
        <f>I5+($E$36*1000000)*E8</f>
        <v>0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14</v>
      </c>
      <c r="F9" s="67">
        <f>SUM(F6:F8)</f>
        <v>405</v>
      </c>
      <c r="G9" s="105">
        <f>SUM(G6:G8)</f>
        <v>428.89719526706409</v>
      </c>
      <c r="H9" s="67"/>
      <c r="I9" s="67">
        <f>SUM(I6:I8)</f>
        <v>104608.10386158187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4</v>
      </c>
      <c r="F10" s="106">
        <f>E6</f>
        <v>4</v>
      </c>
      <c r="G10" s="106">
        <f>G6</f>
        <v>428.89719526706409</v>
      </c>
      <c r="H10" s="68"/>
      <c r="I10" s="68">
        <f>I6</f>
        <v>31428.103861581872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0.2857142857142857</v>
      </c>
      <c r="F11" s="192">
        <f>F6/F9</f>
        <v>1</v>
      </c>
      <c r="G11" s="107">
        <f>G6/G9</f>
        <v>1</v>
      </c>
      <c r="H11" s="69"/>
      <c r="I11" s="191">
        <f>I6/I9</f>
        <v>0.30043660769501901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6.7227560000000004</v>
      </c>
      <c r="F13" s="103">
        <v>1.4159999999999999E-3</v>
      </c>
      <c r="G13" s="103">
        <f>E13+F13</f>
        <v>6.7241720000000003</v>
      </c>
      <c r="H13" s="103"/>
      <c r="I13" s="103">
        <f>E13+F13</f>
        <v>6.7241720000000003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4.4999999999999999E-4</v>
      </c>
      <c r="F23" s="103">
        <v>4.4999999999999999E-4</v>
      </c>
      <c r="G23" s="103">
        <f>E23+F23</f>
        <v>8.9999999999999998E-4</v>
      </c>
      <c r="H23" s="137"/>
      <c r="I23" s="103">
        <f>H23+G23</f>
        <v>8.9999999999999998E-4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7.3179999999999999E-3</v>
      </c>
      <c r="F36" s="109"/>
      <c r="G36" s="208">
        <f>SUM(G23:G34)+G17/1000000</f>
        <v>7.7679999999999997E-3</v>
      </c>
      <c r="H36" s="75"/>
      <c r="I36" s="222">
        <f>SUM(I23:I34)+I17/1000000</f>
        <v>7.7679999999999997E-3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4</v>
      </c>
      <c r="F40" s="111"/>
      <c r="G40" s="111">
        <f>G10</f>
        <v>428.89719526706409</v>
      </c>
      <c r="H40" s="72"/>
      <c r="I40" s="72">
        <f>I10</f>
        <v>31428.103861581872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0.2857142857142857</v>
      </c>
      <c r="F41" s="112"/>
      <c r="G41" s="112">
        <f>G11</f>
        <v>1</v>
      </c>
      <c r="H41" s="74"/>
      <c r="I41" s="74">
        <f>I11</f>
        <v>0.30043660769501901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6.7227560000000004</v>
      </c>
      <c r="F42" s="112"/>
      <c r="G42" s="112">
        <f>G13</f>
        <v>6.7241720000000003</v>
      </c>
      <c r="H42" s="74"/>
      <c r="I42" s="74">
        <f>I13</f>
        <v>6.7241720000000003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5.6135699352379023</v>
      </c>
      <c r="F44" s="112"/>
      <c r="G44" s="112">
        <f>(G36*G16/G15)*G6/G9</f>
        <v>20.025640513658882</v>
      </c>
      <c r="H44" s="87"/>
      <c r="I44" s="221">
        <f>(I36*I16/I15)*I6/I9</f>
        <v>6.0164355028436116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9.1227560000000008</v>
      </c>
      <c r="F45" s="112"/>
      <c r="G45" s="112">
        <f>G38+G13</f>
        <v>9.1241719999999997</v>
      </c>
      <c r="H45" s="74"/>
      <c r="I45" s="221">
        <f>I38+I13</f>
        <v>9.1241719999999997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2.287262327420168</v>
      </c>
      <c r="F47" s="114"/>
      <c r="G47" s="114">
        <f>(G43+G38+G13+(G36*G16/G15)*G6/G9)/(G13*POWER(10,G14))</f>
        <v>4.4303139648508214</v>
      </c>
      <c r="H47" s="73"/>
      <c r="I47" s="219">
        <f>(I43+I38+I13+(I36*I16/I15)*I6/I9)/(I13*POWER(10,I14))</f>
        <v>2.3469042884155269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15.376706535237901</v>
      </c>
      <c r="F48" s="114"/>
      <c r="G48" s="114">
        <f>G13*G47</f>
        <v>29.79019311365888</v>
      </c>
      <c r="H48" s="73"/>
      <c r="I48" s="73">
        <f>I13*I47</f>
        <v>15.780988102843612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8.6539505352379003</v>
      </c>
      <c r="F49" s="114"/>
      <c r="G49" s="114">
        <f>G48-G13</f>
        <v>23.066021113658881</v>
      </c>
      <c r="H49" s="87"/>
      <c r="I49" s="219">
        <f>I48-I13</f>
        <v>9.0568161028436123</v>
      </c>
      <c r="J49" s="87">
        <f>I49-E49</f>
        <v>0.40286556760571202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1.0473133892336804E-2</v>
      </c>
      <c r="F50" s="115"/>
      <c r="G50" s="115">
        <f>G49/G16</f>
        <v>2.7914826471812759E-2</v>
      </c>
      <c r="H50" s="76"/>
      <c r="I50" s="76">
        <f>I49/I16</f>
        <v>1.0960687526132896E-2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4.1646148252389222E-2</v>
      </c>
      <c r="F52" s="117"/>
      <c r="G52" s="117">
        <f>G43/(G43+G44+G45)</f>
        <v>2.1496356118161041E-2</v>
      </c>
      <c r="H52" s="79"/>
      <c r="I52" s="79">
        <f>I43/(I43+I44+I45)</f>
        <v>4.0579246104659843E-2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0.36506971908279645</v>
      </c>
      <c r="F53" s="117"/>
      <c r="G53" s="117">
        <f>G44/(G43+G44+G45)</f>
        <v>0.67222258134597568</v>
      </c>
      <c r="H53" s="79"/>
      <c r="I53" s="79">
        <f>I44/(I43+I44+I45)</f>
        <v>0.38124580435869515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0.59328413266481428</v>
      </c>
      <c r="F54" s="117"/>
      <c r="G54" s="117">
        <f>G45/(G43+G44+G45)</f>
        <v>0.30628106253586329</v>
      </c>
      <c r="H54" s="79"/>
      <c r="I54" s="79">
        <f>I45/(I43+I44+I45)</f>
        <v>0.57817494953664494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2.1679621019862201</v>
      </c>
      <c r="F99" s="129"/>
      <c r="G99" s="129">
        <f>G100/G42</f>
        <v>2.7840966034110739</v>
      </c>
      <c r="H99" s="58"/>
      <c r="I99" s="58">
        <f>I100/I42</f>
        <v>0.70037357361971997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14.574680228900473</v>
      </c>
      <c r="F100" s="130"/>
      <c r="G100" s="130">
        <f>G42+G101</f>
        <v>18.72074442595185</v>
      </c>
      <c r="H100" s="59"/>
      <c r="I100" s="59">
        <f>I42+I101</f>
        <v>4.7094323732736596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7.8519242289004723</v>
      </c>
      <c r="F101" s="131"/>
      <c r="G101" s="131">
        <f>G49-(G95+G96)</f>
        <v>11.996572425951848</v>
      </c>
      <c r="H101" s="60"/>
      <c r="I101" s="60">
        <f>I49-(I95+I96)</f>
        <v>-2.0147396267263407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9.5025102612858198E-3</v>
      </c>
      <c r="F102" s="132"/>
      <c r="G102" s="132">
        <f>G101/G16</f>
        <v>1.4518422396165858E-2</v>
      </c>
      <c r="H102" s="61"/>
      <c r="I102" s="61">
        <f>I101/I16</f>
        <v>-2.43826652151318E-3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405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4.0994579587496145E-2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4</v>
      </c>
      <c r="F116" s="164">
        <f>F6</f>
        <v>405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-0.23602168165001544</v>
      </c>
      <c r="F117" s="200">
        <f>(F115-F108)*F6</f>
        <v>-23.897195267064063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0.30257297726071536</v>
      </c>
      <c r="F118" s="136">
        <f>F6/F9*(1-(F115-F108))</f>
        <v>1.0590054204125039</v>
      </c>
      <c r="G118" s="136"/>
    </row>
    <row r="119" spans="1:10">
      <c r="A119" s="148" t="s">
        <v>183</v>
      </c>
      <c r="E119" s="102">
        <f>E6/E9</f>
        <v>0.2857142857142857</v>
      </c>
      <c r="F119" s="102">
        <f>F6/F9</f>
        <v>1</v>
      </c>
    </row>
    <row r="120" spans="1:10">
      <c r="A120" s="148" t="s">
        <v>89</v>
      </c>
      <c r="E120" s="102">
        <f>E118*E9</f>
        <v>4.2360216816500147</v>
      </c>
      <c r="F120" s="102">
        <f>F118*F9</f>
        <v>428.89719526706409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8.6539505352379003</v>
      </c>
      <c r="F125" s="218">
        <f>I49</f>
        <v>9.0568161028436123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8.6539505352379003</v>
      </c>
      <c r="F129" s="209">
        <f>F125-(F128/40075)*F126*F125</f>
        <v>9.0567483038459624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0.40279776860806216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8.6539505352379003</v>
      </c>
      <c r="D150" s="212">
        <f>F129</f>
        <v>9.0567483038459624</v>
      </c>
      <c r="E150" s="136"/>
      <c r="F150" s="137">
        <f>B150+(E140/E139)</f>
        <v>8.7882164581072537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1.5514986169915979E-2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0.40279776860806216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13.770863884036315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0.40279776860806216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4.1312591652108939</v>
      </c>
    </row>
    <row r="161" spans="1:8">
      <c r="A161" s="51"/>
      <c r="E161" s="136"/>
      <c r="F161" s="136"/>
      <c r="G161" s="136"/>
    </row>
    <row r="162" spans="1:8">
      <c r="A162" s="182">
        <f>E140</f>
        <v>0.40279776860806216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34.427159710090784</v>
      </c>
      <c r="H165" s="204">
        <f>IF(E140/((E138)*E135)&gt;0,G165,0)</f>
        <v>34.427159710090784</v>
      </c>
    </row>
    <row r="166" spans="1:8">
      <c r="A166" s="51" t="s">
        <v>185</v>
      </c>
      <c r="E166" s="136"/>
      <c r="F166" s="136" t="s">
        <v>17</v>
      </c>
      <c r="G166" s="194">
        <f>H157</f>
        <v>13.770863884036315</v>
      </c>
      <c r="H166" s="205">
        <f>IF(E140/((E137)*E135)&gt;0,G166,0)</f>
        <v>13.770863884036315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51.640739565136172</v>
      </c>
      <c r="H168" s="189">
        <f>IF(G165/E134*E139&gt;0,G168,0)</f>
        <v>51.640739565136172</v>
      </c>
    </row>
    <row r="169" spans="1:8">
      <c r="A169" s="51" t="s">
        <v>133</v>
      </c>
      <c r="E169" s="136"/>
      <c r="F169" s="136" t="s">
        <v>17</v>
      </c>
      <c r="G169" s="193">
        <f>G166/E134*E139</f>
        <v>20.656295826054471</v>
      </c>
      <c r="H169" s="189">
        <f>IF(G166/E134*E139&gt;0,G169,0)</f>
        <v>20.656295826054471</v>
      </c>
    </row>
  </sheetData>
  <mergeCells count="1">
    <mergeCell ref="A131:J1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29C1-47CC-4A70-9A97-7DB5FFEC9837}">
  <dimension ref="A1:J169"/>
  <sheetViews>
    <sheetView workbookViewId="0">
      <selection activeCell="F26" sqref="F2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178.41154277718289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1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176</v>
      </c>
      <c r="F6" s="137">
        <v>172</v>
      </c>
      <c r="G6" s="103">
        <f>F120</f>
        <v>178.41154277718289</v>
      </c>
      <c r="H6" s="137"/>
      <c r="I6" s="137">
        <f>I3+($E$36*1000000)*E120</f>
        <v>1317547.266362479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70680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1</v>
      </c>
      <c r="F8" s="137">
        <v>1</v>
      </c>
      <c r="G8" s="103">
        <f>F8</f>
        <v>1</v>
      </c>
      <c r="H8" s="137"/>
      <c r="I8" s="137">
        <f>I5+($E$36*1000000)*E8</f>
        <v>7069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187</v>
      </c>
      <c r="F9" s="67">
        <f>SUM(F6:F8)</f>
        <v>173</v>
      </c>
      <c r="G9" s="105">
        <f>SUM(G6:G8)</f>
        <v>179.41154277718289</v>
      </c>
      <c r="H9" s="67"/>
      <c r="I9" s="67">
        <f>SUM(I6:I8)</f>
        <v>1395296.266362479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176</v>
      </c>
      <c r="F10" s="106">
        <f>E6</f>
        <v>176</v>
      </c>
      <c r="G10" s="106">
        <f>G6</f>
        <v>178.41154277718289</v>
      </c>
      <c r="H10" s="68"/>
      <c r="I10" s="68">
        <f>I6</f>
        <v>1317547.266362479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0.94117647058823528</v>
      </c>
      <c r="F11" s="192">
        <f>F6/F9</f>
        <v>0.9942196531791907</v>
      </c>
      <c r="G11" s="107">
        <f>G6/G9</f>
        <v>0.99442622261354763</v>
      </c>
      <c r="H11" s="69"/>
      <c r="I11" s="191">
        <f>I6/I9</f>
        <v>0.94427778395573958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6.7229780000000003</v>
      </c>
      <c r="F13" s="103">
        <v>2.22E-4</v>
      </c>
      <c r="G13" s="103">
        <f>E13+F13</f>
        <v>6.7232000000000003</v>
      </c>
      <c r="H13" s="103"/>
      <c r="I13" s="103">
        <f>E13+F13</f>
        <v>6.7232000000000003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2.0000000000000001E-4</v>
      </c>
      <c r="F23" s="103">
        <v>2.0000000000000001E-4</v>
      </c>
      <c r="G23" s="103">
        <f>E23+F23</f>
        <v>4.0000000000000002E-4</v>
      </c>
      <c r="H23" s="137"/>
      <c r="I23" s="103">
        <f>H23+G23</f>
        <v>4.0000000000000002E-4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7.0679999999999996E-3</v>
      </c>
      <c r="F36" s="109"/>
      <c r="G36" s="208">
        <f>SUM(G23:G34)+G17/1000000</f>
        <v>7.2680000000000002E-3</v>
      </c>
      <c r="H36" s="75"/>
      <c r="I36" s="222">
        <f>SUM(I23:I34)+I17/1000000</f>
        <v>7.2680000000000002E-3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176</v>
      </c>
      <c r="F40" s="111"/>
      <c r="G40" s="111">
        <f>G10</f>
        <v>178.41154277718289</v>
      </c>
      <c r="H40" s="72"/>
      <c r="I40" s="72">
        <f>I10</f>
        <v>1317547.266362479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0.94117647058823528</v>
      </c>
      <c r="F41" s="112"/>
      <c r="G41" s="112">
        <f>G11</f>
        <v>0.99442622261354763</v>
      </c>
      <c r="H41" s="74"/>
      <c r="I41" s="74">
        <f>I11</f>
        <v>0.94427778395573958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6.7229780000000003</v>
      </c>
      <c r="F42" s="112"/>
      <c r="G42" s="112">
        <f>G13</f>
        <v>6.7232000000000003</v>
      </c>
      <c r="H42" s="74"/>
      <c r="I42" s="74">
        <f>I13</f>
        <v>6.7232000000000003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17.205628669226844</v>
      </c>
      <c r="F44" s="112"/>
      <c r="G44" s="112">
        <f>(G36*G16/G15)*G6/G9</f>
        <v>18.632223515664457</v>
      </c>
      <c r="H44" s="87"/>
      <c r="I44" s="221">
        <f>(I36*I16/I15)*I6/I9</f>
        <v>17.692609397707933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9.1229779999999998</v>
      </c>
      <c r="F45" s="112"/>
      <c r="G45" s="112">
        <f>G38+G13</f>
        <v>9.1232000000000006</v>
      </c>
      <c r="H45" s="74"/>
      <c r="I45" s="221">
        <f>I38+I13</f>
        <v>9.1232000000000006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4.0114644535839385</v>
      </c>
      <c r="F47" s="114"/>
      <c r="G47" s="114">
        <f>(G43+G38+G13+(G36*G16/G15)*G6/G9)/(G13*POWER(10,G14))</f>
        <v>4.2235548720348133</v>
      </c>
      <c r="H47" s="73"/>
      <c r="I47" s="219">
        <f>(I43+I38+I13+(I36*I16/I15)*I6/I9)/(I13*POWER(10,I14))</f>
        <v>4.0837978935191472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26.96898726922684</v>
      </c>
      <c r="F48" s="114"/>
      <c r="G48" s="114">
        <f>G13*G47</f>
        <v>28.395804115664458</v>
      </c>
      <c r="H48" s="73"/>
      <c r="I48" s="73">
        <f>I13*I47</f>
        <v>27.456189997707931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20.246009269226839</v>
      </c>
      <c r="F49" s="114"/>
      <c r="G49" s="114">
        <f>G48-G13</f>
        <v>21.672604115664456</v>
      </c>
      <c r="H49" s="87"/>
      <c r="I49" s="219">
        <f>I48-I13</f>
        <v>20.732989997707932</v>
      </c>
      <c r="J49" s="87">
        <f>I49-E49</f>
        <v>0.48698072848109319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2.4502008071193078E-2</v>
      </c>
      <c r="F50" s="115"/>
      <c r="G50" s="115">
        <f>G49/G16</f>
        <v>2.6228493423289916E-2</v>
      </c>
      <c r="H50" s="76"/>
      <c r="I50" s="76">
        <f>I49/I16</f>
        <v>2.5091359067781597E-2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2.3745074058850953E-2</v>
      </c>
      <c r="F52" s="117"/>
      <c r="G52" s="117">
        <f>G43/(G43+G44+G45)</f>
        <v>2.2551944554608898E-2</v>
      </c>
      <c r="H52" s="79"/>
      <c r="I52" s="79">
        <f>I43/(I43+I44+I45)</f>
        <v>2.3323724087481165E-2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0.63797830068537464</v>
      </c>
      <c r="F53" s="117"/>
      <c r="G53" s="117">
        <f>G44/(G43+G44+G45)</f>
        <v>0.656161151125354</v>
      </c>
      <c r="H53" s="79"/>
      <c r="I53" s="79">
        <f>I44/(I43+I44+I45)</f>
        <v>0.64439419304662904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0.3382766252557744</v>
      </c>
      <c r="F54" s="117"/>
      <c r="G54" s="117">
        <f>G45/(G43+G44+G45)</f>
        <v>0.32128690432003704</v>
      </c>
      <c r="H54" s="79"/>
      <c r="I54" s="79">
        <f>I45/(I43+I44+I45)</f>
        <v>0.33228208286588973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3.892168167572378</v>
      </c>
      <c r="F99" s="129"/>
      <c r="G99" s="129">
        <f>G100/G42</f>
        <v>2.5770995103458803</v>
      </c>
      <c r="H99" s="58"/>
      <c r="I99" s="58">
        <f>I100/I42</f>
        <v>2.4370291331714031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26.166960962889412</v>
      </c>
      <c r="F100" s="130"/>
      <c r="G100" s="130">
        <f>G42+G101</f>
        <v>17.326355427957424</v>
      </c>
      <c r="H100" s="59"/>
      <c r="I100" s="59">
        <f>I42+I101</f>
        <v>16.38463426813798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19.443982962889411</v>
      </c>
      <c r="F101" s="131"/>
      <c r="G101" s="131">
        <f>G49-(G95+G96)</f>
        <v>10.603155427957423</v>
      </c>
      <c r="H101" s="60"/>
      <c r="I101" s="60">
        <f>I49-(I95+I96)</f>
        <v>9.6614342681379792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2.3531384440142095E-2</v>
      </c>
      <c r="F102" s="132"/>
      <c r="G102" s="132">
        <f>G101/G16</f>
        <v>1.2832089347643016E-2</v>
      </c>
      <c r="H102" s="61"/>
      <c r="I102" s="61">
        <f>I101/I16</f>
        <v>1.1692405020135519E-2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173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6.2723588504750696E-2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176</v>
      </c>
      <c r="F116" s="164">
        <f>F6</f>
        <v>172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-10.38495399260068</v>
      </c>
      <c r="F117" s="200">
        <f>(F115-F108)*F6</f>
        <v>-6.4115427771828815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0.99671098391765067</v>
      </c>
      <c r="F118" s="136">
        <f>F6/F9*(1-(F115-F108))</f>
        <v>1.0312805940877623</v>
      </c>
      <c r="G118" s="136"/>
    </row>
    <row r="119" spans="1:10">
      <c r="A119" s="148" t="s">
        <v>183</v>
      </c>
      <c r="E119" s="102">
        <f>E6/E9</f>
        <v>0.94117647058823528</v>
      </c>
      <c r="F119" s="102">
        <f>F6/F9</f>
        <v>0.9942196531791907</v>
      </c>
    </row>
    <row r="120" spans="1:10">
      <c r="A120" s="148" t="s">
        <v>89</v>
      </c>
      <c r="E120" s="102">
        <f>E118*E9</f>
        <v>186.38495399260069</v>
      </c>
      <c r="F120" s="102">
        <f>F118*F9</f>
        <v>178.41154277718289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20.246009269226839</v>
      </c>
      <c r="F125" s="218">
        <f>I49</f>
        <v>20.732989997707932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20.246009269226839</v>
      </c>
      <c r="F129" s="209">
        <f>F125-(F128/40075)*F126*F125</f>
        <v>20.732834791294973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0.48682552206813412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20.246009269226839</v>
      </c>
      <c r="D150" s="212">
        <f>F129</f>
        <v>20.732834791294973</v>
      </c>
      <c r="E150" s="136"/>
      <c r="F150" s="137">
        <f>B150+(E140/E139)</f>
        <v>20.408284443249549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8.0151684149114555E-3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0.48682552206813412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16.643607592072961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0.48682552206813412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4.9930822776218884</v>
      </c>
    </row>
    <row r="161" spans="1:8">
      <c r="A161" s="51"/>
      <c r="E161" s="136"/>
      <c r="F161" s="136"/>
      <c r="G161" s="136"/>
    </row>
    <row r="162" spans="1:8">
      <c r="A162" s="182">
        <f>E140</f>
        <v>0.48682552206813412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41.609018980182405</v>
      </c>
      <c r="H165" s="204">
        <f>IF(E140/((E138)*E135)&gt;0,G165,0)</f>
        <v>41.609018980182405</v>
      </c>
    </row>
    <row r="166" spans="1:8">
      <c r="A166" s="51" t="s">
        <v>185</v>
      </c>
      <c r="E166" s="136"/>
      <c r="F166" s="136" t="s">
        <v>17</v>
      </c>
      <c r="G166" s="194">
        <f>H157</f>
        <v>16.643607592072961</v>
      </c>
      <c r="H166" s="205">
        <f>IF(E140/((E137)*E135)&gt;0,G166,0)</f>
        <v>16.643607592072961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62.413528470273604</v>
      </c>
      <c r="H168" s="189">
        <f>IF(G165/E134*E139&gt;0,G168,0)</f>
        <v>62.413528470273604</v>
      </c>
    </row>
    <row r="169" spans="1:8">
      <c r="A169" s="51" t="s">
        <v>133</v>
      </c>
      <c r="E169" s="136"/>
      <c r="F169" s="136" t="s">
        <v>17</v>
      </c>
      <c r="G169" s="193">
        <f>G166/E134*E139</f>
        <v>24.965411388109441</v>
      </c>
      <c r="H169" s="189">
        <f>IF(G166/E134*E139&gt;0,G169,0)</f>
        <v>24.965411388109441</v>
      </c>
    </row>
  </sheetData>
  <mergeCells count="1">
    <mergeCell ref="A131:J1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D550-22B3-4554-A35A-ABB8C53F333F}">
  <dimension ref="A1:J169"/>
  <sheetViews>
    <sheetView topLeftCell="A28" workbookViewId="0">
      <selection activeCell="G48" sqref="G48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190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614.89997026386322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1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581</v>
      </c>
      <c r="F6" s="137">
        <v>577</v>
      </c>
      <c r="G6" s="103">
        <f>F120</f>
        <v>614.89997026386322</v>
      </c>
      <c r="H6" s="137"/>
      <c r="I6" s="137">
        <f>I3+($E$36*1000000)*E120</f>
        <v>4626306.0981044238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</v>
      </c>
      <c r="F7" s="137">
        <v>0</v>
      </c>
      <c r="G7" s="103">
        <f>F7</f>
        <v>0</v>
      </c>
      <c r="H7" s="137"/>
      <c r="I7" s="137">
        <f>I4+($E$36*1000000)*E7</f>
        <v>75180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1</v>
      </c>
      <c r="F8" s="137">
        <v>1</v>
      </c>
      <c r="G8" s="103">
        <f>F8</f>
        <v>1</v>
      </c>
      <c r="H8" s="137"/>
      <c r="I8" s="137">
        <f>I5+($E$36*1000000)*E8</f>
        <v>7519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592</v>
      </c>
      <c r="F9" s="67">
        <f>SUM(F6:F8)</f>
        <v>578</v>
      </c>
      <c r="G9" s="105">
        <f>SUM(G6:G8)</f>
        <v>615.89997026386322</v>
      </c>
      <c r="H9" s="67"/>
      <c r="I9" s="67">
        <f>SUM(I6:I8)</f>
        <v>4709005.0981044238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581</v>
      </c>
      <c r="F10" s="106">
        <f>E6</f>
        <v>581</v>
      </c>
      <c r="G10" s="106">
        <f>G6</f>
        <v>614.89997026386322</v>
      </c>
      <c r="H10" s="68"/>
      <c r="I10" s="68">
        <f>I6</f>
        <v>4626306.0981044238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0.98141891891891897</v>
      </c>
      <c r="F11" s="192">
        <f>F6/F9</f>
        <v>0.9982698961937716</v>
      </c>
      <c r="G11" s="107">
        <f>G6/G9</f>
        <v>0.99837635972027794</v>
      </c>
      <c r="H11" s="69"/>
      <c r="I11" s="191">
        <f>I6/I9</f>
        <v>0.98243811627358613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6.7243940000000002</v>
      </c>
      <c r="F13" s="103">
        <v>1.6379999999999999E-3</v>
      </c>
      <c r="G13" s="103">
        <f>E13+F13</f>
        <v>6.726032</v>
      </c>
      <c r="H13" s="103"/>
      <c r="I13" s="103">
        <f>E13+F13</f>
        <v>6.726032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03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0.32052399999999998</v>
      </c>
      <c r="F15" s="103"/>
      <c r="G15" s="103">
        <v>0.32052399999999998</v>
      </c>
      <c r="H15" s="103"/>
      <c r="I15" s="103">
        <v>0.32052399999999998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826.3</v>
      </c>
      <c r="F16" s="108"/>
      <c r="G16" s="108">
        <v>826.3</v>
      </c>
      <c r="H16" s="108"/>
      <c r="I16" s="108">
        <v>826.3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6868</v>
      </c>
      <c r="F17" s="103"/>
      <c r="G17" s="103">
        <v>6868</v>
      </c>
      <c r="H17" s="103"/>
      <c r="I17" s="103">
        <v>6868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11858.9</v>
      </c>
      <c r="F18" s="103"/>
      <c r="G18" s="103">
        <v>11858.9</v>
      </c>
      <c r="H18" s="103"/>
      <c r="I18" s="103">
        <v>11858.9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340</v>
      </c>
      <c r="B23" s="19"/>
      <c r="C23" s="19"/>
      <c r="D23" s="144" t="s">
        <v>19</v>
      </c>
      <c r="E23" s="103">
        <v>6.4999999999999997E-4</v>
      </c>
      <c r="F23" s="103">
        <v>6.4999999999999997E-4</v>
      </c>
      <c r="G23" s="103">
        <f>E23+F23</f>
        <v>1.2999999999999999E-3</v>
      </c>
      <c r="H23" s="137"/>
      <c r="I23" s="103">
        <f>H23+G23</f>
        <v>1.2999999999999999E-3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7.5180000000000004E-3</v>
      </c>
      <c r="F36" s="109"/>
      <c r="G36" s="208">
        <f>SUM(G23:G34)+G17/1000000</f>
        <v>8.1679999999999999E-3</v>
      </c>
      <c r="H36" s="75"/>
      <c r="I36" s="222">
        <f>SUM(I23:I34)+I17/1000000</f>
        <v>8.1679999999999999E-3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2.4</v>
      </c>
      <c r="F38" s="110"/>
      <c r="G38" s="110">
        <v>2.4</v>
      </c>
      <c r="H38" s="66"/>
      <c r="I38" s="110">
        <v>2.4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581</v>
      </c>
      <c r="F40" s="111"/>
      <c r="G40" s="111">
        <f>G10</f>
        <v>614.89997026386322</v>
      </c>
      <c r="H40" s="72"/>
      <c r="I40" s="72">
        <f>I10</f>
        <v>4626306.0981044238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0.98141891891891897</v>
      </c>
      <c r="F41" s="112"/>
      <c r="G41" s="112">
        <f>G11</f>
        <v>0.99837635972027794</v>
      </c>
      <c r="H41" s="74"/>
      <c r="I41" s="74">
        <f>I11</f>
        <v>0.98243811627358613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6.7243940000000002</v>
      </c>
      <c r="F42" s="112"/>
      <c r="G42" s="112">
        <f>G13</f>
        <v>6.726032</v>
      </c>
      <c r="H42" s="74"/>
      <c r="I42" s="74">
        <f>I13</f>
        <v>6.726032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0.64038059999999997</v>
      </c>
      <c r="F43" s="111"/>
      <c r="G43" s="111">
        <f>G18*G20/1000000</f>
        <v>0.64038059999999997</v>
      </c>
      <c r="H43" s="72"/>
      <c r="I43" s="220">
        <f>I18*I20/1000000</f>
        <v>0.64038059999999997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19.040739101303171</v>
      </c>
      <c r="F44" s="112"/>
      <c r="G44" s="112">
        <f>(G36*G16/G15)*G6/G9</f>
        <v>21.022638233483669</v>
      </c>
      <c r="H44" s="87"/>
      <c r="I44" s="221">
        <f>(I36*I16/I15)*I6/I9</f>
        <v>20.687029399405432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9.1243940000000006</v>
      </c>
      <c r="F45" s="112"/>
      <c r="G45" s="112">
        <f>G38+G13</f>
        <v>9.1260320000000004</v>
      </c>
      <c r="H45" s="74"/>
      <c r="I45" s="221">
        <f>I38+I13</f>
        <v>9.1260320000000004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4.2837337760552359</v>
      </c>
      <c r="F47" s="114"/>
      <c r="G47" s="114">
        <f>(G43+G38+G13+(G36*G16/G15)*G6/G9)/(G13*POWER(10,G14))</f>
        <v>4.5775950565628687</v>
      </c>
      <c r="H47" s="73"/>
      <c r="I47" s="219">
        <f>(I43+I38+I13+(I36*I16/I15)*I6/I9)/(I13*POWER(10,I14))</f>
        <v>4.5276980542770877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28.805513701303173</v>
      </c>
      <c r="F48" s="114"/>
      <c r="G48" s="114">
        <f>G13*G47</f>
        <v>30.789050833483664</v>
      </c>
      <c r="H48" s="73"/>
      <c r="I48" s="73">
        <f>I13*I47</f>
        <v>30.453441999405428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22.081119701303173</v>
      </c>
      <c r="F49" s="114"/>
      <c r="G49" s="114">
        <f>G48-G13</f>
        <v>24.063018833483664</v>
      </c>
      <c r="H49" s="87"/>
      <c r="I49" s="219">
        <f>I48-I13</f>
        <v>23.727409999405427</v>
      </c>
      <c r="J49" s="87">
        <f>I49-E49</f>
        <v>1.6462902981022545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2.6722884789184526E-2</v>
      </c>
      <c r="F50" s="115"/>
      <c r="G50" s="115">
        <f>G49/G16</f>
        <v>2.9121407277603369E-2</v>
      </c>
      <c r="H50" s="76"/>
      <c r="I50" s="76">
        <f>I49/I16</f>
        <v>2.8715248698300166E-2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2.2231181385632744E-2</v>
      </c>
      <c r="F52" s="117"/>
      <c r="G52" s="117">
        <f>G43/(G43+G44+G45)</f>
        <v>2.0798971798882935E-2</v>
      </c>
      <c r="H52" s="79"/>
      <c r="I52" s="79">
        <f>I43/(I43+I44+I45)</f>
        <v>2.102818459773784E-2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0.66101022529036735</v>
      </c>
      <c r="F53" s="117"/>
      <c r="G53" s="117">
        <f>G44/(G43+G44+G45)</f>
        <v>0.68279591817170127</v>
      </c>
      <c r="H53" s="79"/>
      <c r="I53" s="79">
        <f>I44/(I43+I44+I45)</f>
        <v>0.67930020520535317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0.31675859332399997</v>
      </c>
      <c r="F54" s="117"/>
      <c r="G54" s="117">
        <f>G45/(G43+G44+G45)</f>
        <v>0.29640511002941566</v>
      </c>
      <c r="H54" s="79"/>
      <c r="I54" s="79">
        <f>I45/(I43+I44+I45)</f>
        <v>0.29967161019690891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1.1818360000000001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0.96474300000000002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378.6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376.45342100000005</v>
      </c>
      <c r="F63" s="121"/>
      <c r="G63" s="124">
        <f>G62--G60-G61</f>
        <v>378.81708760000004</v>
      </c>
      <c r="H63" s="52"/>
      <c r="I63" s="52">
        <f>G62-G60-G61</f>
        <v>376.45342640000001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63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70</v>
      </c>
      <c r="F68" s="123"/>
      <c r="G68" s="123">
        <f>SUM(G66)</f>
        <v>7</v>
      </c>
      <c r="H68" s="53"/>
      <c r="I68" s="53">
        <f>SUM(I66)</f>
        <v>7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6868</v>
      </c>
      <c r="F69" s="123"/>
      <c r="G69" s="123">
        <f>G17</f>
        <v>6868</v>
      </c>
      <c r="H69" s="53"/>
      <c r="I69" s="53">
        <f>I17</f>
        <v>6868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228">
        <v>1.026348</v>
      </c>
      <c r="F72" s="228"/>
      <c r="G72" s="228">
        <v>1.026348</v>
      </c>
      <c r="H72" s="228"/>
      <c r="I72" s="228">
        <v>1.026348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0.96448999999999996</v>
      </c>
      <c r="F73" s="119"/>
      <c r="G73" s="119">
        <v>0.96448999999999996</v>
      </c>
      <c r="H73" s="119"/>
      <c r="I73" s="119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367</v>
      </c>
      <c r="F74" s="120"/>
      <c r="G74" s="120">
        <v>367</v>
      </c>
      <c r="H74" s="120"/>
      <c r="I74" s="120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365.009162</v>
      </c>
      <c r="F75" s="121"/>
      <c r="G75" s="124">
        <f>G74-G72-G73</f>
        <v>365.009162</v>
      </c>
      <c r="H75" s="52"/>
      <c r="I75" s="52">
        <f>I74-I72-I73</f>
        <v>365.009162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69</v>
      </c>
      <c r="F80" s="124"/>
      <c r="G80" s="124">
        <f>SUM(G78:G79)</f>
        <v>69</v>
      </c>
      <c r="H80" s="52"/>
      <c r="I80" s="52">
        <f>SUM(I78:I79)</f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5.5377084583701094E-2</v>
      </c>
      <c r="F84" s="125"/>
      <c r="G84" s="125">
        <f>G63/(G69-G68)</f>
        <v>5.5213101238886467E-2</v>
      </c>
      <c r="H84" s="55"/>
      <c r="I84" s="55">
        <f>I63/(I69-I68)</f>
        <v>5.4868594432298502E-2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0.17548517403846153</v>
      </c>
      <c r="F85" s="126"/>
      <c r="G85" s="126">
        <f>G75/(G81-G80)</f>
        <v>0.17548517403846153</v>
      </c>
      <c r="H85" s="62"/>
      <c r="I85" s="62">
        <f>I75/(I81-I80)</f>
        <v>0.17548517403846153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3.0665414285714288E-2</v>
      </c>
      <c r="F86" s="125"/>
      <c r="G86" s="125">
        <f>IF(G68=0,0,(G60+G61)/G68)</f>
        <v>0.30665337142857141</v>
      </c>
      <c r="H86" s="55"/>
      <c r="I86" s="55">
        <f>IF(I68=0,0,(I60+I61)/I68)</f>
        <v>0.30665337142857141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2.8852724637681161E-2</v>
      </c>
      <c r="F87" s="125"/>
      <c r="G87" s="125">
        <f>IF(G80=0,0,(G72+G73)/G80)</f>
        <v>2.8852724637681161E-2</v>
      </c>
      <c r="H87" s="55"/>
      <c r="I87" s="55">
        <f>IF(I80=0,0,(I72+I73)/I80)</f>
        <v>2.8852724637681161E-2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1.0628255969166178</v>
      </c>
      <c r="F90" s="126"/>
      <c r="G90" s="126">
        <f>IF(G87=0,0,G86/G87)</f>
        <v>10.628229232399335</v>
      </c>
      <c r="H90" s="62"/>
      <c r="I90" s="62">
        <f>IF(I87=0,0,I86/I87)</f>
        <v>10.628229232399335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0.31556560197822725</v>
      </c>
      <c r="F92" s="125"/>
      <c r="G92" s="125">
        <f>IF(G85=0,0,G84/G85)</f>
        <v>0.31463114500365297</v>
      </c>
      <c r="H92" s="55"/>
      <c r="I92" s="55">
        <f>IF(I85=0,0,I84/I85)</f>
        <v>0.31266797741142971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0.80202630633742777</v>
      </c>
      <c r="F96" s="128"/>
      <c r="G96" s="128">
        <f>(G60+G61)*(G90-G92)/2</f>
        <v>11.069448687707032</v>
      </c>
      <c r="H96" s="57"/>
      <c r="I96" s="57">
        <f>(I60+I61)*(I90-I92)/2</f>
        <v>11.071555729569953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4.1644626110495224</v>
      </c>
      <c r="F99" s="129"/>
      <c r="G99" s="129">
        <f>G100/G42</f>
        <v>2.9318329359385493</v>
      </c>
      <c r="H99" s="58"/>
      <c r="I99" s="58">
        <f>I100/I42</f>
        <v>2.8816226669506593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28.003487394965745</v>
      </c>
      <c r="F100" s="130"/>
      <c r="G100" s="130">
        <f>G42+G101</f>
        <v>19.719602145776634</v>
      </c>
      <c r="H100" s="59"/>
      <c r="I100" s="59">
        <f>I42+I101</f>
        <v>19.381886269835476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21.279093394965745</v>
      </c>
      <c r="F101" s="131"/>
      <c r="G101" s="131">
        <f>G49-(G95+G96)</f>
        <v>12.993570145776632</v>
      </c>
      <c r="H101" s="60"/>
      <c r="I101" s="60">
        <f>I49-(I95+I96)</f>
        <v>12.655854269835475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2.5752261158133543E-2</v>
      </c>
      <c r="F102" s="132"/>
      <c r="G102" s="132">
        <f>G101/G16</f>
        <v>1.572500320195647E-2</v>
      </c>
      <c r="H102" s="61"/>
      <c r="I102" s="61">
        <f>I101/I16</f>
        <v>1.5316294650654091E-2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v>405</v>
      </c>
      <c r="F110" s="152">
        <f>F9</f>
        <v>578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NO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320524</v>
      </c>
      <c r="F112" s="152">
        <v>320524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68.048050160318596</v>
      </c>
      <c r="F113" s="172">
        <f>F109/(1+(1.65*1.65*0.5*(1-0.5))/(F108*F108*F112))</f>
        <v>68.048050160318596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NO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4.0994579587496145E-2</v>
      </c>
      <c r="F115" s="163">
        <f>SQRT((1.65*1.65)*0.5*(1-0.5)/F110)</f>
        <v>3.4315476145817744E-2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581</v>
      </c>
      <c r="F116" s="164">
        <f>F6</f>
        <v>577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-34.282149259664742</v>
      </c>
      <c r="F117" s="200">
        <f>(F115-F108)*F6</f>
        <v>-37.899970263863167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1.0393279548305148</v>
      </c>
      <c r="F118" s="136">
        <f>F6/F9*(1-(F115-F108))</f>
        <v>1.0638407790032236</v>
      </c>
      <c r="G118" s="136"/>
    </row>
    <row r="119" spans="1:10">
      <c r="A119" s="148" t="s">
        <v>183</v>
      </c>
      <c r="E119" s="102">
        <f>E6/E9</f>
        <v>0.98141891891891897</v>
      </c>
      <c r="F119" s="102">
        <f>F6/F9</f>
        <v>0.9982698961937716</v>
      </c>
    </row>
    <row r="120" spans="1:10">
      <c r="A120" s="148" t="s">
        <v>89</v>
      </c>
      <c r="E120" s="102">
        <f>E118*E9</f>
        <v>615.28214925966472</v>
      </c>
      <c r="F120" s="102">
        <f>F118*F9</f>
        <v>614.89997026386322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22.081119701303173</v>
      </c>
      <c r="F125" s="218">
        <f>I49</f>
        <v>23.727409999405427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22.081119701303173</v>
      </c>
      <c r="F129" s="209">
        <f>F125-(F128/40075)*F126*F125</f>
        <v>23.727232376872681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1.6461126755695084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22.081119701303173</v>
      </c>
      <c r="D150" s="212">
        <f>F129</f>
        <v>23.727232376872681</v>
      </c>
      <c r="E150" s="136"/>
      <c r="F150" s="137">
        <f>B150+(E140/E139)</f>
        <v>22.62982392649301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2.4849474692058005E-2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1.6461126755695084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56.277356429726787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1.6461126755695084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16.883206928918035</v>
      </c>
    </row>
    <row r="161" spans="1:8">
      <c r="A161" s="51"/>
      <c r="E161" s="136"/>
      <c r="F161" s="136"/>
      <c r="G161" s="136"/>
    </row>
    <row r="162" spans="1:8">
      <c r="A162" s="182">
        <f>E140</f>
        <v>1.6461126755695084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140.69339107431696</v>
      </c>
      <c r="H165" s="204">
        <f>IF(E140/((E138)*E135)&gt;0,G165,0)</f>
        <v>140.69339107431696</v>
      </c>
    </row>
    <row r="166" spans="1:8">
      <c r="A166" s="51" t="s">
        <v>185</v>
      </c>
      <c r="E166" s="136"/>
      <c r="F166" s="136" t="s">
        <v>17</v>
      </c>
      <c r="G166" s="194">
        <f>H157</f>
        <v>56.277356429726787</v>
      </c>
      <c r="H166" s="205">
        <f>IF(E140/((E137)*E135)&gt;0,G166,0)</f>
        <v>56.277356429726787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211.04008661147543</v>
      </c>
      <c r="H168" s="189">
        <f>IF(G165/E134*E139&gt;0,G168,0)</f>
        <v>211.04008661147543</v>
      </c>
    </row>
    <row r="169" spans="1:8">
      <c r="A169" s="51" t="s">
        <v>133</v>
      </c>
      <c r="E169" s="136"/>
      <c r="F169" s="136" t="s">
        <v>17</v>
      </c>
      <c r="G169" s="193">
        <f>G166/E134*E139</f>
        <v>84.416034644590184</v>
      </c>
      <c r="H169" s="189">
        <f>IF(G166/E134*E139&gt;0,G169,0)</f>
        <v>84.416034644590184</v>
      </c>
    </row>
  </sheetData>
  <mergeCells count="1">
    <mergeCell ref="A131:J1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9"/>
  <sheetViews>
    <sheetView topLeftCell="H31" workbookViewId="0">
      <selection activeCell="J31" sqref="A1:J104857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191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1.8710580837556763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50</v>
      </c>
      <c r="F6" s="137">
        <v>3</v>
      </c>
      <c r="G6" s="103">
        <f>F120</f>
        <v>1.8710580837556763</v>
      </c>
      <c r="H6" s="137"/>
      <c r="I6" s="137">
        <f>I3+($E$36*1000000)*E120</f>
        <v>240686.66865566192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17</v>
      </c>
      <c r="F7" s="137">
        <v>0</v>
      </c>
      <c r="G7" s="103">
        <f>F7</f>
        <v>0</v>
      </c>
      <c r="H7" s="137"/>
      <c r="I7" s="137">
        <f>I4+($E$36*1000000)*E7</f>
        <v>81447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8</v>
      </c>
      <c r="F8" s="137">
        <v>0</v>
      </c>
      <c r="G8" s="103">
        <f>F8</f>
        <v>0</v>
      </c>
      <c r="H8" s="137"/>
      <c r="I8" s="137">
        <f>I5+($E$36*1000000)*E8</f>
        <v>38328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75</v>
      </c>
      <c r="F9" s="67">
        <f>SUM(F6:F8)</f>
        <v>3</v>
      </c>
      <c r="G9" s="105">
        <f>SUM(G6:G8)</f>
        <v>1.8710580837556763</v>
      </c>
      <c r="H9" s="67"/>
      <c r="I9" s="67">
        <f>SUM(I6:I8)</f>
        <v>360461.66865566192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50</v>
      </c>
      <c r="F10" s="106">
        <f>F6</f>
        <v>3</v>
      </c>
      <c r="G10" s="106">
        <f>G6</f>
        <v>1.8710580837556763</v>
      </c>
      <c r="H10" s="68"/>
      <c r="I10" s="68">
        <f>I6</f>
        <v>240686.66865566192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0.66666666666666663</v>
      </c>
      <c r="F11" s="192">
        <f>F6/F9</f>
        <v>1</v>
      </c>
      <c r="G11" s="107">
        <f>G6/G9</f>
        <v>1</v>
      </c>
      <c r="H11" s="69"/>
      <c r="I11" s="191">
        <f>I6/I9</f>
        <v>0.66771778967039785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4.557239</v>
      </c>
      <c r="F13" s="103"/>
      <c r="G13" s="103">
        <f>SUM(E13+F13)</f>
        <v>4.557239</v>
      </c>
      <c r="H13" s="137"/>
      <c r="I13" s="103">
        <f>H13+G13</f>
        <v>4.557239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0.17699999999999999</v>
      </c>
      <c r="F15" s="103"/>
      <c r="G15" s="103">
        <v>0.17699999999999999</v>
      </c>
      <c r="H15" s="103"/>
      <c r="I15" s="103">
        <v>0.17699999999999999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255.072</v>
      </c>
      <c r="F16" s="108"/>
      <c r="G16" s="108">
        <v>255.072</v>
      </c>
      <c r="H16" s="108"/>
      <c r="I16" s="108">
        <v>255.072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2928</v>
      </c>
      <c r="F17" s="103"/>
      <c r="G17" s="103">
        <v>2928</v>
      </c>
      <c r="H17" s="103"/>
      <c r="I17" s="103">
        <v>2928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0</v>
      </c>
      <c r="F18" s="103"/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/>
      <c r="B23" s="19"/>
      <c r="C23" s="19"/>
      <c r="D23" s="144" t="s">
        <v>19</v>
      </c>
      <c r="E23" s="103">
        <v>1.6000000000000001E-3</v>
      </c>
      <c r="F23" s="103">
        <v>3.0000000000000001E-6</v>
      </c>
      <c r="G23" s="103">
        <f>E23+F23</f>
        <v>1.603E-3</v>
      </c>
      <c r="H23" s="137"/>
      <c r="I23" s="103">
        <f>H23+G23</f>
        <v>1.603E-3</v>
      </c>
      <c r="J23" s="137"/>
    </row>
    <row r="24" spans="1:10">
      <c r="A24" s="65"/>
      <c r="B24" s="45"/>
      <c r="D24" s="144" t="s">
        <v>19</v>
      </c>
      <c r="E24" s="103">
        <v>2.4000000000000001E-5</v>
      </c>
      <c r="F24" s="103"/>
      <c r="G24" s="103">
        <f>E24+F24</f>
        <v>2.4000000000000001E-5</v>
      </c>
      <c r="H24" s="137"/>
      <c r="I24" s="137">
        <f>H24+G24</f>
        <v>2.4000000000000001E-5</v>
      </c>
      <c r="J24" s="137"/>
    </row>
    <row r="25" spans="1:10">
      <c r="B25" s="80"/>
      <c r="D25" s="144" t="s">
        <v>19</v>
      </c>
      <c r="E25" s="103">
        <v>2.3900000000000001E-4</v>
      </c>
      <c r="F25" s="103"/>
      <c r="G25" s="103">
        <f>E25+F25</f>
        <v>2.3900000000000001E-4</v>
      </c>
      <c r="H25" s="137"/>
      <c r="I25" s="137">
        <f>H25+G25</f>
        <v>2.3900000000000001E-4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4.7910000000000001E-3</v>
      </c>
      <c r="F36" s="109"/>
      <c r="G36" s="208">
        <f>SUM(G23:G34)+G17/1000000</f>
        <v>4.7939999999999997E-3</v>
      </c>
      <c r="H36" s="75"/>
      <c r="I36" s="222">
        <f>SUM(I23:I34)+I17/1000000</f>
        <v>4.7939999999999997E-3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0</v>
      </c>
      <c r="F38" s="110"/>
      <c r="G38" s="110">
        <v>0</v>
      </c>
      <c r="H38" s="66"/>
      <c r="I38" s="110">
        <v>0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50</v>
      </c>
      <c r="F40" s="111"/>
      <c r="G40" s="111">
        <f>G10</f>
        <v>1.8710580837556763</v>
      </c>
      <c r="H40" s="72"/>
      <c r="I40" s="72">
        <f>I10</f>
        <v>240686.66865566192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0.66666666666666663</v>
      </c>
      <c r="F41" s="112"/>
      <c r="G41" s="112">
        <f>G11</f>
        <v>1</v>
      </c>
      <c r="H41" s="74"/>
      <c r="I41" s="74">
        <f>I11</f>
        <v>0.66771778967039785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4.557239</v>
      </c>
      <c r="F42" s="112"/>
      <c r="G42" s="112">
        <f>G13</f>
        <v>4.557239</v>
      </c>
      <c r="H42" s="74"/>
      <c r="I42" s="74">
        <f>I13</f>
        <v>4.557239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4.6100699719232123</v>
      </c>
      <c r="F44" s="112"/>
      <c r="G44" s="112">
        <f>(G36*G16/G15)*G6/G9</f>
        <v>6.9085602711864409</v>
      </c>
      <c r="H44" s="87"/>
      <c r="I44" s="221">
        <f>(I36*I16/I15)*I6/I9</f>
        <v>4.6129685940813348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4.557239</v>
      </c>
      <c r="F45" s="112"/>
      <c r="G45" s="112">
        <f>G38+G13</f>
        <v>4.557239</v>
      </c>
      <c r="H45" s="74"/>
      <c r="I45" s="221">
        <f>I38+I13</f>
        <v>4.557239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2.0115927586688369</v>
      </c>
      <c r="F47" s="114"/>
      <c r="G47" s="114">
        <f>(G43+G38+G13+(G36*G16/G15)*G6/G9)/(G13*POWER(10,G14))</f>
        <v>2.5159530301541002</v>
      </c>
      <c r="H47" s="73"/>
      <c r="I47" s="219">
        <f>(I43+I38+I13+(I36*I16/I15)*I6/I9)/(I13*POWER(10,I14))</f>
        <v>2.0122288065386376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9.1673089719232124</v>
      </c>
      <c r="F48" s="114"/>
      <c r="G48" s="114">
        <f>G13*G47</f>
        <v>11.465799271186441</v>
      </c>
      <c r="H48" s="73"/>
      <c r="I48" s="73">
        <f>I13*I47</f>
        <v>9.1702075940813348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4.6100699719232123</v>
      </c>
      <c r="F49" s="114"/>
      <c r="G49" s="114">
        <f>G48-G13</f>
        <v>6.9085602711864409</v>
      </c>
      <c r="H49" s="87"/>
      <c r="I49" s="219">
        <f>I48-I13</f>
        <v>4.6129685940813348</v>
      </c>
      <c r="J49" s="87">
        <f>I49-E49</f>
        <v>2.8986221581224214E-3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1.8073602637385569E-2</v>
      </c>
      <c r="F50" s="115"/>
      <c r="G50" s="115">
        <f>G49/G16</f>
        <v>2.7084745762711866E-2</v>
      </c>
      <c r="H50" s="76"/>
      <c r="I50" s="76">
        <f>I49/I16</f>
        <v>1.8084966574462642E-2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0</v>
      </c>
      <c r="F52" s="117"/>
      <c r="G52" s="117">
        <f>G43/(G43+G44+G45)</f>
        <v>0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0.50288148747276973</v>
      </c>
      <c r="F53" s="117"/>
      <c r="G53" s="117">
        <f>G44/(G43+G44+G45)</f>
        <v>0.60253630015551174</v>
      </c>
      <c r="H53" s="79"/>
      <c r="I53" s="79">
        <f>I44/(I43+I44+I45)</f>
        <v>0.50303862227270102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0.49711851252723027</v>
      </c>
      <c r="F54" s="117"/>
      <c r="G54" s="117">
        <f>G45/(G43+G44+G45)</f>
        <v>0.39746369984448826</v>
      </c>
      <c r="H54" s="79"/>
      <c r="I54" s="79">
        <f>I45/(I43+I44+I45)</f>
        <v>0.49696137772729898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  <c r="E59" s="102" t="s">
        <v>341</v>
      </c>
    </row>
    <row r="60" spans="1:10">
      <c r="A60" s="140" t="s">
        <v>38</v>
      </c>
      <c r="B60" s="149"/>
      <c r="C60" s="150"/>
      <c r="D60" s="20" t="s">
        <v>18</v>
      </c>
      <c r="E60" s="228">
        <v>1.0246580000000001</v>
      </c>
      <c r="F60" s="228"/>
      <c r="G60" s="228">
        <v>1.0246580000000001</v>
      </c>
      <c r="H60" s="228"/>
      <c r="I60" s="228">
        <v>1.0246580000000001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228">
        <v>0.90626300000000004</v>
      </c>
      <c r="F61" s="228"/>
      <c r="G61" s="228">
        <v>0.90626300000000004</v>
      </c>
      <c r="H61" s="228"/>
      <c r="I61" s="228">
        <v>0.90626300000000004</v>
      </c>
      <c r="J61" s="86"/>
    </row>
    <row r="62" spans="1:10">
      <c r="A62" s="140" t="s">
        <v>40</v>
      </c>
      <c r="B62" s="149"/>
      <c r="C62" s="150"/>
      <c r="D62" s="150" t="s">
        <v>18</v>
      </c>
      <c r="E62" s="229">
        <v>129.798</v>
      </c>
      <c r="F62" s="229"/>
      <c r="G62" s="229">
        <v>129.798</v>
      </c>
      <c r="H62" s="229"/>
      <c r="I62" s="229">
        <v>129.798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127.86707900000002</v>
      </c>
      <c r="F63" s="121"/>
      <c r="G63" s="124">
        <f>G62-G60-G61</f>
        <v>127.86707900000002</v>
      </c>
      <c r="H63" s="52"/>
      <c r="I63" s="52">
        <f>I62-I60-I61</f>
        <v>127.86707900000002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8</v>
      </c>
      <c r="F66" s="103"/>
      <c r="G66" s="103">
        <v>8</v>
      </c>
      <c r="H66" s="137"/>
      <c r="I66" s="137">
        <v>8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7</v>
      </c>
      <c r="F67" s="103"/>
      <c r="G67" s="103">
        <v>7</v>
      </c>
      <c r="H67" s="137"/>
      <c r="I67" s="137">
        <v>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15</v>
      </c>
      <c r="F68" s="123"/>
      <c r="G68" s="123">
        <f>SUM(G66:G67)</f>
        <v>15</v>
      </c>
      <c r="H68" s="53"/>
      <c r="I68" s="53">
        <f>SUM(I66:I67)</f>
        <v>15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2928</v>
      </c>
      <c r="F69" s="123"/>
      <c r="G69" s="123">
        <f>G17</f>
        <v>2928</v>
      </c>
      <c r="H69" s="53"/>
      <c r="I69" s="53">
        <f>I17</f>
        <v>2928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  <c r="E71" s="102" t="s">
        <v>342</v>
      </c>
    </row>
    <row r="72" spans="1:10">
      <c r="A72" s="140" t="s">
        <v>38</v>
      </c>
      <c r="B72" s="149"/>
      <c r="C72" s="150"/>
      <c r="D72" s="144" t="s">
        <v>18</v>
      </c>
      <c r="E72" s="119">
        <v>1.1001529999999999</v>
      </c>
      <c r="F72" s="119"/>
      <c r="G72" s="119">
        <v>1.1001529999999999</v>
      </c>
      <c r="H72" s="119"/>
      <c r="I72" s="119">
        <v>1.1001529999999999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0.93773799999999996</v>
      </c>
      <c r="F73" s="119"/>
      <c r="G73" s="119">
        <v>0.93773799999999996</v>
      </c>
      <c r="H73" s="119"/>
      <c r="I73" s="119">
        <v>0.93773799999999996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127.261</v>
      </c>
      <c r="F74" s="120"/>
      <c r="G74" s="120">
        <v>127.261</v>
      </c>
      <c r="H74" s="120"/>
      <c r="I74" s="120">
        <v>127.261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125.22310899999999</v>
      </c>
      <c r="F75" s="121"/>
      <c r="G75" s="124">
        <f>G74-G72-G73</f>
        <v>125.22310899999999</v>
      </c>
      <c r="H75" s="52"/>
      <c r="I75" s="52">
        <f>G74-G72-G73</f>
        <v>125.22310899999999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7</v>
      </c>
      <c r="F78" s="122"/>
      <c r="G78" s="122">
        <v>7</v>
      </c>
      <c r="H78" s="122"/>
      <c r="I78" s="122">
        <v>7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122"/>
      <c r="I79" s="122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70</v>
      </c>
      <c r="F80" s="124"/>
      <c r="G80" s="124">
        <f>SUM(G78:G79)</f>
        <v>70</v>
      </c>
      <c r="H80" s="52"/>
      <c r="I80" s="52">
        <f>SUM(I78:I79)</f>
        <v>70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4.3895324064538284E-2</v>
      </c>
      <c r="F84" s="125"/>
      <c r="G84" s="125">
        <f>G63/(G69-G68)</f>
        <v>4.3895324064538284E-2</v>
      </c>
      <c r="H84" s="55"/>
      <c r="I84" s="55">
        <f>I63/(I69-I68)</f>
        <v>4.3895324064538284E-2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6.023237566137566E-2</v>
      </c>
      <c r="F85" s="126"/>
      <c r="G85" s="126">
        <f>G75/(G81-G80)</f>
        <v>6.023237566137566E-2</v>
      </c>
      <c r="H85" s="62"/>
      <c r="I85" s="62">
        <f>I75/(I81-I80)</f>
        <v>6.023237566137566E-2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0.12872806666666667</v>
      </c>
      <c r="F86" s="125"/>
      <c r="G86" s="125">
        <f>IF(G68=0,0,(G60+G61)/G68)</f>
        <v>0.12872806666666667</v>
      </c>
      <c r="H86" s="55"/>
      <c r="I86" s="55">
        <f>IF(I68=0,0,(I60+I61)/I68)</f>
        <v>0.12872806666666667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2.9112728571428572E-2</v>
      </c>
      <c r="F87" s="125"/>
      <c r="G87" s="125">
        <f>IF(G80=0,0,(G72+G73)/G80)</f>
        <v>2.9112728571428572E-2</v>
      </c>
      <c r="H87" s="55"/>
      <c r="I87" s="55">
        <f>IF(I80=0,0,(I72+I73)/I80)</f>
        <v>2.9112728571428572E-2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4.4217108111604926</v>
      </c>
      <c r="F90" s="126"/>
      <c r="G90" s="126">
        <f>IF(G87=0,0,G86/G87)</f>
        <v>4.4217108111604926</v>
      </c>
      <c r="H90" s="62"/>
      <c r="I90" s="62">
        <f>IF(I87=0,0,I86/I87)</f>
        <v>4.4217108111604926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0.7287662753220342</v>
      </c>
      <c r="F92" s="125"/>
      <c r="G92" s="125">
        <f>IF(G85=0,0,G84/G85)</f>
        <v>0.7287662753220342</v>
      </c>
      <c r="H92" s="55"/>
      <c r="I92" s="55">
        <f>IF(I85=0,0,I84/I85)</f>
        <v>0.7287662753220342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3.5653920780428661</v>
      </c>
      <c r="F96" s="128"/>
      <c r="G96" s="128">
        <f>(G60+G61)*(G90-G92)/2</f>
        <v>3.5653920780428661</v>
      </c>
      <c r="H96" s="57"/>
      <c r="I96" s="57">
        <f>(I60+I61)*(I90-I92)/2</f>
        <v>3.5653920780428661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1.2292348270258258</v>
      </c>
      <c r="F99" s="129"/>
      <c r="G99" s="129">
        <f>G100/G42</f>
        <v>1.7335950985110886</v>
      </c>
      <c r="H99" s="58"/>
      <c r="I99" s="58">
        <f>I100/I42</f>
        <v>1.2298708748956264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5.6019168938803467</v>
      </c>
      <c r="F100" s="130"/>
      <c r="G100" s="130">
        <f>G42+G101</f>
        <v>7.9004071931435753</v>
      </c>
      <c r="H100" s="59"/>
      <c r="I100" s="59">
        <f>I42+I101</f>
        <v>5.6048155160384692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1.0446778938803463</v>
      </c>
      <c r="F101" s="131"/>
      <c r="G101" s="131">
        <f>G49-(G95+G96)</f>
        <v>3.3431681931435748</v>
      </c>
      <c r="H101" s="60"/>
      <c r="I101" s="60">
        <f>I49-(I95+I96)</f>
        <v>1.0475765160384687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4.095619644180256E-3</v>
      </c>
      <c r="F102" s="132"/>
      <c r="G102" s="132">
        <f>G101/G16</f>
        <v>1.310676276950655E-2</v>
      </c>
      <c r="H102" s="61"/>
      <c r="I102" s="61">
        <f>I101/I16</f>
        <v>4.1069835812573259E-3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75</v>
      </c>
      <c r="F110" s="152">
        <f>F9</f>
        <v>3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3000000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68.060955867063754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9.5262794416288252E-2</v>
      </c>
      <c r="F115" s="163">
        <f>SQRT((1.65*1.65)*0.5*(1-0.5)/F110)</f>
        <v>0.47631397208144122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50</v>
      </c>
      <c r="F116" s="164">
        <f>F6</f>
        <v>3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-0.23686027918558769</v>
      </c>
      <c r="F117" s="200">
        <f>(F115-F108)*F6</f>
        <v>1.1289419162443237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0.66982480372247455</v>
      </c>
      <c r="F118" s="136">
        <f>F6/F9*(1-(F115-F108))</f>
        <v>0.62368602791855876</v>
      </c>
      <c r="G118" s="136"/>
    </row>
    <row r="119" spans="1:10">
      <c r="A119" s="148" t="s">
        <v>183</v>
      </c>
      <c r="E119" s="102">
        <f>E6/E9</f>
        <v>0.66666666666666663</v>
      </c>
      <c r="F119" s="102">
        <f>F6/F9</f>
        <v>1</v>
      </c>
    </row>
    <row r="120" spans="1:10">
      <c r="A120" s="148" t="s">
        <v>89</v>
      </c>
      <c r="E120" s="102">
        <f>E118*E9</f>
        <v>50.236860279185592</v>
      </c>
      <c r="F120" s="102">
        <f>F118*F9</f>
        <v>1.8710580837556763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4.6100699719232123</v>
      </c>
      <c r="F125" s="218">
        <f>I49</f>
        <v>4.6129685940813348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4.6100699719232123</v>
      </c>
      <c r="F129" s="209">
        <f>F125-(F128/40075)*F126*F125</f>
        <v>4.6129340615653467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2.8640896421343598E-3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4.6100699719232123</v>
      </c>
      <c r="D150" s="212">
        <f>F129</f>
        <v>4.6129340615653467</v>
      </c>
      <c r="E150" s="136"/>
      <c r="F150" s="137">
        <f>B150+(E140/E139)</f>
        <v>4.6110246684705904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2.0708938328328763E-4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2.8640896421343598E-3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9.79175946028841E-2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2.8640896421343598E-3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2.9375278380865229E-2</v>
      </c>
    </row>
    <row r="161" spans="1:8">
      <c r="A161" s="51"/>
      <c r="E161" s="136"/>
      <c r="F161" s="136"/>
      <c r="G161" s="136"/>
    </row>
    <row r="162" spans="1:8">
      <c r="A162" s="182">
        <f>E140</f>
        <v>2.8640896421343598E-3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0.24479398650721024</v>
      </c>
      <c r="H165" s="204">
        <f>IF(E140/((E138)*E135)&gt;0,G165,0)</f>
        <v>0.24479398650721024</v>
      </c>
    </row>
    <row r="166" spans="1:8">
      <c r="A166" s="51" t="s">
        <v>185</v>
      </c>
      <c r="E166" s="136"/>
      <c r="F166" s="136" t="s">
        <v>17</v>
      </c>
      <c r="G166" s="194">
        <f>H157</f>
        <v>9.79175946028841E-2</v>
      </c>
      <c r="H166" s="205">
        <f>IF(E140/((E137)*E135)&gt;0,G166,0)</f>
        <v>9.79175946028841E-2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0.36719097976081538</v>
      </c>
      <c r="H168" s="189">
        <f>IF(G165/E134*E139&gt;0,G168,0)</f>
        <v>0.36719097976081538</v>
      </c>
    </row>
    <row r="169" spans="1:8">
      <c r="A169" s="51" t="s">
        <v>133</v>
      </c>
      <c r="E169" s="136"/>
      <c r="F169" s="136" t="s">
        <v>17</v>
      </c>
      <c r="G169" s="193">
        <f>G166/E134*E139</f>
        <v>0.14687639190432616</v>
      </c>
      <c r="H169" s="189">
        <f>IF(G166/E134*E139&gt;0,G169,0)</f>
        <v>0.14687639190432616</v>
      </c>
    </row>
  </sheetData>
  <mergeCells count="1">
    <mergeCell ref="A131:J1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1D51-64A6-44AF-99B0-64623C3B5883}">
  <dimension ref="A1:J169"/>
  <sheetViews>
    <sheetView topLeftCell="A151" workbookViewId="0">
      <selection activeCell="F26" sqref="F2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191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1.8710580837556763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53</v>
      </c>
      <c r="F6" s="137">
        <v>3</v>
      </c>
      <c r="G6" s="103">
        <f>F120</f>
        <v>1.8710580837556763</v>
      </c>
      <c r="H6" s="137"/>
      <c r="I6" s="137">
        <f>I3+($E$36*1000000)*E120</f>
        <v>255757.54595344776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17</v>
      </c>
      <c r="F7" s="137">
        <v>0</v>
      </c>
      <c r="G7" s="103">
        <f>F7</f>
        <v>0</v>
      </c>
      <c r="H7" s="137"/>
      <c r="I7" s="137">
        <f>I4+($E$36*1000000)*E7</f>
        <v>81498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8</v>
      </c>
      <c r="F8" s="137">
        <v>0</v>
      </c>
      <c r="G8" s="103">
        <f>F8</f>
        <v>0</v>
      </c>
      <c r="H8" s="137"/>
      <c r="I8" s="137">
        <f>I5+($E$36*1000000)*E8</f>
        <v>38352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78</v>
      </c>
      <c r="F9" s="67">
        <f>SUM(F6:F8)</f>
        <v>3</v>
      </c>
      <c r="G9" s="105">
        <f>SUM(G6:G8)</f>
        <v>1.8710580837556763</v>
      </c>
      <c r="H9" s="67"/>
      <c r="I9" s="67">
        <f>SUM(I6:I8)</f>
        <v>375607.54595344776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53</v>
      </c>
      <c r="F10" s="106">
        <f>F6</f>
        <v>3</v>
      </c>
      <c r="G10" s="106">
        <f>G6</f>
        <v>1.8710580837556763</v>
      </c>
      <c r="H10" s="68"/>
      <c r="I10" s="68">
        <f>I6</f>
        <v>255757.54595344776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0.67948717948717952</v>
      </c>
      <c r="F11" s="192">
        <f>F6/F9</f>
        <v>1</v>
      </c>
      <c r="G11" s="107">
        <f>G6/G9</f>
        <v>1</v>
      </c>
      <c r="H11" s="69"/>
      <c r="I11" s="191">
        <f>I6/I9</f>
        <v>0.68091695363635207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4.557239</v>
      </c>
      <c r="F13" s="103"/>
      <c r="G13" s="103">
        <f>SUM(E13+F13)</f>
        <v>4.557239</v>
      </c>
      <c r="H13" s="137"/>
      <c r="I13" s="103">
        <f>H13+G13</f>
        <v>4.557239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0.17699999999999999</v>
      </c>
      <c r="F15" s="103"/>
      <c r="G15" s="103">
        <v>0.17699999999999999</v>
      </c>
      <c r="H15" s="103"/>
      <c r="I15" s="103">
        <v>0.17699999999999999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255.072</v>
      </c>
      <c r="F16" s="108"/>
      <c r="G16" s="108">
        <v>255.072</v>
      </c>
      <c r="H16" s="108"/>
      <c r="I16" s="108">
        <v>255.072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2928</v>
      </c>
      <c r="F17" s="103"/>
      <c r="G17" s="103">
        <v>2928</v>
      </c>
      <c r="H17" s="103"/>
      <c r="I17" s="103">
        <v>2928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0</v>
      </c>
      <c r="F18" s="103"/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/>
      <c r="B23" s="19"/>
      <c r="C23" s="19"/>
      <c r="D23" s="144" t="s">
        <v>19</v>
      </c>
      <c r="E23" s="103">
        <v>1.6000000000000001E-3</v>
      </c>
      <c r="F23" s="103">
        <v>3.0000000000000001E-6</v>
      </c>
      <c r="G23" s="103">
        <f>E23+F23</f>
        <v>1.603E-3</v>
      </c>
      <c r="H23" s="137"/>
      <c r="I23" s="103">
        <f>H23+G23</f>
        <v>1.603E-3</v>
      </c>
      <c r="J23" s="137"/>
    </row>
    <row r="24" spans="1:10">
      <c r="A24" s="65"/>
      <c r="B24" s="45"/>
      <c r="D24" s="144" t="s">
        <v>19</v>
      </c>
      <c r="E24" s="103">
        <v>2.4000000000000001E-5</v>
      </c>
      <c r="F24" s="103"/>
      <c r="G24" s="103">
        <f>E24+F24</f>
        <v>2.4000000000000001E-5</v>
      </c>
      <c r="H24" s="137"/>
      <c r="I24" s="137">
        <f>H24+G24</f>
        <v>2.4000000000000001E-5</v>
      </c>
      <c r="J24" s="137"/>
    </row>
    <row r="25" spans="1:10">
      <c r="B25" s="80"/>
      <c r="D25" s="144" t="s">
        <v>19</v>
      </c>
      <c r="E25" s="103">
        <v>2.3900000000000001E-4</v>
      </c>
      <c r="F25" s="103"/>
      <c r="G25" s="103">
        <f>E25+F25</f>
        <v>2.3900000000000001E-4</v>
      </c>
      <c r="H25" s="137"/>
      <c r="I25" s="137">
        <f>H25+G25</f>
        <v>2.3900000000000001E-4</v>
      </c>
      <c r="J25" s="137"/>
    </row>
    <row r="26" spans="1:10">
      <c r="B26" s="80"/>
      <c r="D26" s="144" t="s">
        <v>19</v>
      </c>
      <c r="E26" s="103">
        <v>3.0000000000000001E-6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4.7939999999999997E-3</v>
      </c>
      <c r="F36" s="109"/>
      <c r="G36" s="208">
        <f>SUM(G23:G34)+G17/1000000</f>
        <v>4.7939999999999997E-3</v>
      </c>
      <c r="H36" s="75"/>
      <c r="I36" s="222">
        <f>SUM(I23:I34)+I17/1000000</f>
        <v>4.7939999999999997E-3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0</v>
      </c>
      <c r="F38" s="110"/>
      <c r="G38" s="110">
        <v>0</v>
      </c>
      <c r="H38" s="66"/>
      <c r="I38" s="110">
        <v>0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53</v>
      </c>
      <c r="F40" s="111"/>
      <c r="G40" s="111">
        <f>G10</f>
        <v>1.8710580837556763</v>
      </c>
      <c r="H40" s="72"/>
      <c r="I40" s="72">
        <f>I10</f>
        <v>255757.54595344776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0.67948717948717952</v>
      </c>
      <c r="F41" s="112"/>
      <c r="G41" s="112">
        <f>G11</f>
        <v>1</v>
      </c>
      <c r="H41" s="74"/>
      <c r="I41" s="74">
        <f>I11</f>
        <v>0.68091695363635207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4.557239</v>
      </c>
      <c r="F42" s="112"/>
      <c r="G42" s="112">
        <f>G13</f>
        <v>4.557239</v>
      </c>
      <c r="H42" s="74"/>
      <c r="I42" s="74">
        <f>I13</f>
        <v>4.557239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4.7041448327552828</v>
      </c>
      <c r="F44" s="112"/>
      <c r="G44" s="112">
        <f>(G36*G16/G15)*G6/G9</f>
        <v>6.9085602711864409</v>
      </c>
      <c r="H44" s="87"/>
      <c r="I44" s="221">
        <f>(I36*I16/I15)*I6/I9</f>
        <v>4.7041558138694013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4.557239</v>
      </c>
      <c r="F45" s="112"/>
      <c r="G45" s="112">
        <f>G38+G13</f>
        <v>4.557239</v>
      </c>
      <c r="H45" s="74"/>
      <c r="I45" s="221">
        <f>I38+I13</f>
        <v>4.557239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2.0322357095502963</v>
      </c>
      <c r="F47" s="114"/>
      <c r="G47" s="114">
        <f>(G43+G38+G13+(G36*G16/G15)*G6/G9)/(G13*POWER(10,G14))</f>
        <v>2.5159530301541002</v>
      </c>
      <c r="H47" s="73"/>
      <c r="I47" s="219">
        <f>(I43+I38+I13+(I36*I16/I15)*I6/I9)/(I13*POWER(10,I14))</f>
        <v>2.0322381191483267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9.2613838327552838</v>
      </c>
      <c r="F48" s="114"/>
      <c r="G48" s="114">
        <f>G13*G47</f>
        <v>11.465799271186441</v>
      </c>
      <c r="H48" s="73"/>
      <c r="I48" s="73">
        <f>I13*I47</f>
        <v>9.2613948138694013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4.7041448327552837</v>
      </c>
      <c r="F49" s="114"/>
      <c r="G49" s="114">
        <f>G48-G13</f>
        <v>6.9085602711864409</v>
      </c>
      <c r="H49" s="87"/>
      <c r="I49" s="219">
        <f>I48-I13</f>
        <v>4.7041558138694013</v>
      </c>
      <c r="J49" s="87">
        <f>I49-E49</f>
        <v>1.0981114117569746E-5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1.8442419523723826E-2</v>
      </c>
      <c r="F50" s="115"/>
      <c r="G50" s="115">
        <f>G49/G16</f>
        <v>2.7084745762711866E-2</v>
      </c>
      <c r="H50" s="76"/>
      <c r="I50" s="76">
        <f>I49/I16</f>
        <v>1.8442462574760857E-2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0</v>
      </c>
      <c r="F52" s="117"/>
      <c r="G52" s="117">
        <f>G43/(G43+G44+G45)</f>
        <v>0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0.50793109514777446</v>
      </c>
      <c r="F53" s="117"/>
      <c r="G53" s="117">
        <f>G44/(G43+G44+G45)</f>
        <v>0.60253630015551174</v>
      </c>
      <c r="H53" s="79"/>
      <c r="I53" s="79">
        <f>I44/(I43+I44+I45)</f>
        <v>0.50793167858740818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0.49206890485222565</v>
      </c>
      <c r="F54" s="117"/>
      <c r="G54" s="117">
        <f>G45/(G43+G44+G45)</f>
        <v>0.39746369984448826</v>
      </c>
      <c r="H54" s="79"/>
      <c r="I54" s="79">
        <f>I45/(I43+I44+I45)</f>
        <v>0.49206832141259188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  <c r="E59" s="102" t="s">
        <v>341</v>
      </c>
    </row>
    <row r="60" spans="1:10">
      <c r="A60" s="140" t="s">
        <v>38</v>
      </c>
      <c r="B60" s="149"/>
      <c r="C60" s="150"/>
      <c r="D60" s="20" t="s">
        <v>18</v>
      </c>
      <c r="E60" s="228">
        <v>1.0246580000000001</v>
      </c>
      <c r="F60" s="228"/>
      <c r="G60" s="228">
        <v>1.0246580000000001</v>
      </c>
      <c r="H60" s="228"/>
      <c r="I60" s="228">
        <v>1.0246580000000001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228">
        <v>0.90626300000000004</v>
      </c>
      <c r="F61" s="228"/>
      <c r="G61" s="228">
        <v>0.90626300000000004</v>
      </c>
      <c r="H61" s="228"/>
      <c r="I61" s="228">
        <v>0.90626300000000004</v>
      </c>
      <c r="J61" s="86"/>
    </row>
    <row r="62" spans="1:10">
      <c r="A62" s="140" t="s">
        <v>40</v>
      </c>
      <c r="B62" s="149"/>
      <c r="C62" s="150"/>
      <c r="D62" s="150" t="s">
        <v>18</v>
      </c>
      <c r="E62" s="229">
        <v>129.798</v>
      </c>
      <c r="F62" s="229"/>
      <c r="G62" s="229">
        <v>129.798</v>
      </c>
      <c r="H62" s="229"/>
      <c r="I62" s="229">
        <v>129.798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127.86707900000002</v>
      </c>
      <c r="F63" s="121"/>
      <c r="G63" s="124">
        <f>G62-G60-G61</f>
        <v>127.86707900000002</v>
      </c>
      <c r="H63" s="52"/>
      <c r="I63" s="52">
        <f>I62-I60-I61</f>
        <v>127.86707900000002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8</v>
      </c>
      <c r="F66" s="103"/>
      <c r="G66" s="103">
        <v>8</v>
      </c>
      <c r="H66" s="137"/>
      <c r="I66" s="137">
        <v>8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7</v>
      </c>
      <c r="F67" s="103"/>
      <c r="G67" s="103">
        <v>7</v>
      </c>
      <c r="H67" s="137"/>
      <c r="I67" s="137">
        <v>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15</v>
      </c>
      <c r="F68" s="123"/>
      <c r="G68" s="123">
        <f>SUM(G66:G67)</f>
        <v>15</v>
      </c>
      <c r="H68" s="53"/>
      <c r="I68" s="53">
        <f>SUM(I66:I67)</f>
        <v>15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2928</v>
      </c>
      <c r="F69" s="123"/>
      <c r="G69" s="123">
        <f>G17</f>
        <v>2928</v>
      </c>
      <c r="H69" s="53"/>
      <c r="I69" s="53">
        <f>I17</f>
        <v>2928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  <c r="E71" s="102" t="s">
        <v>342</v>
      </c>
    </row>
    <row r="72" spans="1:10">
      <c r="A72" s="140" t="s">
        <v>38</v>
      </c>
      <c r="B72" s="149"/>
      <c r="C72" s="150"/>
      <c r="D72" s="144" t="s">
        <v>18</v>
      </c>
      <c r="E72" s="119">
        <v>1.1001529999999999</v>
      </c>
      <c r="F72" s="119"/>
      <c r="G72" s="119">
        <v>1.1001529999999999</v>
      </c>
      <c r="H72" s="119"/>
      <c r="I72" s="119">
        <v>1.1001529999999999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0.93773799999999996</v>
      </c>
      <c r="F73" s="119"/>
      <c r="G73" s="119">
        <v>0.93773799999999996</v>
      </c>
      <c r="H73" s="119"/>
      <c r="I73" s="119">
        <v>0.93773799999999996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127.261</v>
      </c>
      <c r="F74" s="120"/>
      <c r="G74" s="120">
        <v>127.261</v>
      </c>
      <c r="H74" s="120"/>
      <c r="I74" s="120">
        <v>127.261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125.22310899999999</v>
      </c>
      <c r="F75" s="121"/>
      <c r="G75" s="124">
        <f>G74-G72-G73</f>
        <v>125.22310899999999</v>
      </c>
      <c r="H75" s="52"/>
      <c r="I75" s="52">
        <f>G74-G72-G73</f>
        <v>125.22310899999999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7</v>
      </c>
      <c r="F78" s="122"/>
      <c r="G78" s="122">
        <v>7</v>
      </c>
      <c r="H78" s="122"/>
      <c r="I78" s="122">
        <v>7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63</v>
      </c>
      <c r="F79" s="122"/>
      <c r="G79" s="122">
        <v>63</v>
      </c>
      <c r="H79" s="122"/>
      <c r="I79" s="122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70</v>
      </c>
      <c r="F80" s="124"/>
      <c r="G80" s="124">
        <f>SUM(G78:G79)</f>
        <v>70</v>
      </c>
      <c r="H80" s="52"/>
      <c r="I80" s="52">
        <f>SUM(I78:I79)</f>
        <v>70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4.3895324064538284E-2</v>
      </c>
      <c r="F84" s="125"/>
      <c r="G84" s="125">
        <f>G63/(G69-G68)</f>
        <v>4.3895324064538284E-2</v>
      </c>
      <c r="H84" s="55"/>
      <c r="I84" s="55">
        <f>I63/(I69-I68)</f>
        <v>4.3895324064538284E-2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6.023237566137566E-2</v>
      </c>
      <c r="F85" s="126"/>
      <c r="G85" s="126">
        <f>G75/(G81-G80)</f>
        <v>6.023237566137566E-2</v>
      </c>
      <c r="H85" s="62"/>
      <c r="I85" s="62">
        <f>I75/(I81-I80)</f>
        <v>6.023237566137566E-2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0.12872806666666667</v>
      </c>
      <c r="F86" s="125"/>
      <c r="G86" s="125">
        <f>IF(G68=0,0,(G60+G61)/G68)</f>
        <v>0.12872806666666667</v>
      </c>
      <c r="H86" s="55"/>
      <c r="I86" s="55">
        <f>IF(I68=0,0,(I60+I61)/I68)</f>
        <v>0.12872806666666667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2.9112728571428572E-2</v>
      </c>
      <c r="F87" s="125"/>
      <c r="G87" s="125">
        <f>IF(G80=0,0,(G72+G73)/G80)</f>
        <v>2.9112728571428572E-2</v>
      </c>
      <c r="H87" s="55"/>
      <c r="I87" s="55">
        <f>IF(I80=0,0,(I72+I73)/I80)</f>
        <v>2.9112728571428572E-2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4.4217108111604926</v>
      </c>
      <c r="F90" s="126"/>
      <c r="G90" s="126">
        <f>IF(G87=0,0,G86/G87)</f>
        <v>4.4217108111604926</v>
      </c>
      <c r="H90" s="62"/>
      <c r="I90" s="62">
        <f>IF(I87=0,0,I86/I87)</f>
        <v>4.4217108111604926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0.7287662753220342</v>
      </c>
      <c r="F92" s="125"/>
      <c r="G92" s="125">
        <f>IF(G85=0,0,G84/G85)</f>
        <v>0.7287662753220342</v>
      </c>
      <c r="H92" s="55"/>
      <c r="I92" s="55">
        <f>IF(I85=0,0,I84/I85)</f>
        <v>0.7287662753220342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3.5653920780428661</v>
      </c>
      <c r="F96" s="128"/>
      <c r="G96" s="128">
        <f>(G60+G61)*(G90-G92)/2</f>
        <v>3.5653920780428661</v>
      </c>
      <c r="H96" s="57"/>
      <c r="I96" s="57">
        <f>(I60+I61)*(I90-I92)/2</f>
        <v>3.5653920780428661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1.2498777779072852</v>
      </c>
      <c r="F99" s="129"/>
      <c r="G99" s="129">
        <f>G100/G42</f>
        <v>1.7335950985110886</v>
      </c>
      <c r="H99" s="58"/>
      <c r="I99" s="58">
        <f>I100/I42</f>
        <v>1.2498801875053154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5.6959917547124181</v>
      </c>
      <c r="F100" s="130"/>
      <c r="G100" s="130">
        <f>G42+G101</f>
        <v>7.9004071931435753</v>
      </c>
      <c r="H100" s="59"/>
      <c r="I100" s="59">
        <f>I42+I101</f>
        <v>5.6960027358265357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1.1387527547124177</v>
      </c>
      <c r="F101" s="131"/>
      <c r="G101" s="131">
        <f>G49-(G95+G96)</f>
        <v>3.3431681931435748</v>
      </c>
      <c r="H101" s="60"/>
      <c r="I101" s="60">
        <f>I49-(I95+I96)</f>
        <v>1.1387637358265352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4.4644365305185106E-3</v>
      </c>
      <c r="F102" s="132"/>
      <c r="G102" s="132">
        <f>G101/G16</f>
        <v>1.310676276950655E-2</v>
      </c>
      <c r="H102" s="61"/>
      <c r="I102" s="61">
        <f>I101/I16</f>
        <v>4.4644795815555419E-3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78</v>
      </c>
      <c r="F110" s="152">
        <f>F9</f>
        <v>3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3000000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68.060955867063754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9.3412855316929153E-2</v>
      </c>
      <c r="F115" s="163">
        <f>SQRT((1.65*1.65)*0.5*(1-0.5)/F110)</f>
        <v>0.47631397208144122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53</v>
      </c>
      <c r="F116" s="164">
        <f>F6</f>
        <v>3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-0.34911866820275522</v>
      </c>
      <c r="F117" s="200">
        <f>(F115-F108)*F6</f>
        <v>1.1289419162443237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0.68396305984875327</v>
      </c>
      <c r="F118" s="136">
        <f>F6/F9*(1-(F115-F108))</f>
        <v>0.62368602791855876</v>
      </c>
      <c r="G118" s="136"/>
    </row>
    <row r="119" spans="1:10">
      <c r="A119" s="148" t="s">
        <v>183</v>
      </c>
      <c r="E119" s="102">
        <f>E6/E9</f>
        <v>0.67948717948717952</v>
      </c>
      <c r="F119" s="102">
        <f>F6/F9</f>
        <v>1</v>
      </c>
    </row>
    <row r="120" spans="1:10">
      <c r="A120" s="148" t="s">
        <v>89</v>
      </c>
      <c r="E120" s="102">
        <f>E118*E9</f>
        <v>53.349118668202756</v>
      </c>
      <c r="F120" s="102">
        <f>F118*F9</f>
        <v>1.8710580837556763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4.7041448327552837</v>
      </c>
      <c r="F125" s="218">
        <f>I49</f>
        <v>4.7041558138694013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4.7041448327552837</v>
      </c>
      <c r="F129" s="209">
        <f>F125-(F128/40075)*F126*F125</f>
        <v>4.704120598729185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-2.4234026098746142E-5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4.7041448327552837</v>
      </c>
      <c r="D150" s="212">
        <f>F129</f>
        <v>4.704120598729185</v>
      </c>
      <c r="E150" s="136"/>
      <c r="F150" s="137">
        <f>B150+(E140/E139)</f>
        <v>4.7041367547465844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-1.7172108823793053E-6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-2.4234026098746142E-5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-8.2851371277764595E-4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-2.4234026098746142E-5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-2.4855411383329376E-4</v>
      </c>
    </row>
    <row r="161" spans="1:8">
      <c r="A161" s="51"/>
      <c r="E161" s="136"/>
      <c r="F161" s="136"/>
      <c r="G161" s="136"/>
    </row>
    <row r="162" spans="1:8">
      <c r="A162" s="182">
        <f>E140</f>
        <v>-2.4234026098746142E-5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-2.0712842819441148E-3</v>
      </c>
      <c r="H165" s="204">
        <f>IF(E140/((E138)*E135)&gt;0,G165,0)</f>
        <v>0</v>
      </c>
    </row>
    <row r="166" spans="1:8">
      <c r="A166" s="51" t="s">
        <v>185</v>
      </c>
      <c r="E166" s="136"/>
      <c r="F166" s="136" t="s">
        <v>17</v>
      </c>
      <c r="G166" s="194">
        <f>H157</f>
        <v>-8.2851371277764595E-4</v>
      </c>
      <c r="H166" s="205">
        <f>IF(E140/((E137)*E135)&gt;0,G166,0)</f>
        <v>0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-3.106926422916172E-3</v>
      </c>
      <c r="H168" s="189">
        <f>IF(G165/E134*E139&gt;0,G168,0)</f>
        <v>0</v>
      </c>
    </row>
    <row r="169" spans="1:8">
      <c r="A169" s="51" t="s">
        <v>133</v>
      </c>
      <c r="E169" s="136"/>
      <c r="F169" s="136" t="s">
        <v>17</v>
      </c>
      <c r="G169" s="193">
        <f>G166/E134*E139</f>
        <v>-1.242770569166469E-3</v>
      </c>
      <c r="H169" s="189">
        <f>IF(G166/E134*E139&gt;0,G169,0)</f>
        <v>0</v>
      </c>
    </row>
  </sheetData>
  <mergeCells count="1">
    <mergeCell ref="A131:J1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A57"/>
  <sheetViews>
    <sheetView topLeftCell="A37" workbookViewId="0">
      <selection sqref="A1:A57"/>
    </sheetView>
  </sheetViews>
  <sheetFormatPr defaultRowHeight="15"/>
  <sheetData>
    <row r="1" spans="1:1" ht="15.75" thickBot="1">
      <c r="A1" s="183" t="s">
        <v>145</v>
      </c>
    </row>
    <row r="2" spans="1:1" ht="15.75" thickBot="1">
      <c r="A2" s="183"/>
    </row>
    <row r="3" spans="1:1" ht="15.75" thickBot="1">
      <c r="A3" s="183" t="s">
        <v>146</v>
      </c>
    </row>
    <row r="4" spans="1:1" ht="15.75" thickBot="1">
      <c r="A4" s="183"/>
    </row>
    <row r="5" spans="1:1" ht="15.75" thickBot="1">
      <c r="A5" s="183" t="s">
        <v>147</v>
      </c>
    </row>
    <row r="6" spans="1:1" ht="15.75" thickBot="1">
      <c r="A6" s="183"/>
    </row>
    <row r="7" spans="1:1" ht="15.75" thickBot="1">
      <c r="A7" s="184" t="s">
        <v>148</v>
      </c>
    </row>
    <row r="8" spans="1:1" ht="15.75" thickBot="1">
      <c r="A8" s="185" t="s">
        <v>149</v>
      </c>
    </row>
    <row r="9" spans="1:1" ht="15.75" thickBot="1">
      <c r="A9" s="183"/>
    </row>
    <row r="10" spans="1:1" ht="15.75" thickBot="1">
      <c r="A10" s="183"/>
    </row>
    <row r="11" spans="1:1" ht="15.75" thickBot="1">
      <c r="A11" s="184" t="s">
        <v>150</v>
      </c>
    </row>
    <row r="12" spans="1:1" ht="15.75" thickBot="1">
      <c r="A12" s="183"/>
    </row>
    <row r="13" spans="1:1" ht="15.75" thickBot="1">
      <c r="A13" s="183" t="s">
        <v>151</v>
      </c>
    </row>
    <row r="14" spans="1:1" ht="15.75" thickBot="1">
      <c r="A14" s="183"/>
    </row>
    <row r="15" spans="1:1" ht="15.75" thickBot="1">
      <c r="A15" s="184" t="s">
        <v>152</v>
      </c>
    </row>
    <row r="16" spans="1:1" ht="15.75" thickBot="1">
      <c r="A16" s="185" t="s">
        <v>149</v>
      </c>
    </row>
    <row r="17" spans="1:1" ht="15.75" thickBot="1">
      <c r="A17" s="183"/>
    </row>
    <row r="18" spans="1:1" ht="15.75" thickBot="1">
      <c r="A18" s="183"/>
    </row>
    <row r="19" spans="1:1" ht="15.75" thickBot="1">
      <c r="A19" s="184" t="s">
        <v>153</v>
      </c>
    </row>
    <row r="20" spans="1:1" ht="15.75" thickBot="1">
      <c r="A20" s="183"/>
    </row>
    <row r="21" spans="1:1" ht="15.75" thickBot="1">
      <c r="A21" s="183" t="s">
        <v>154</v>
      </c>
    </row>
    <row r="22" spans="1:1" ht="15.75" thickBot="1">
      <c r="A22" s="183"/>
    </row>
    <row r="23" spans="1:1" ht="15.75" thickBot="1">
      <c r="A23" s="184" t="s">
        <v>155</v>
      </c>
    </row>
    <row r="24" spans="1:1" ht="15.75" thickBot="1">
      <c r="A24" s="185" t="s">
        <v>149</v>
      </c>
    </row>
    <row r="25" spans="1:1" ht="15.75" thickBot="1">
      <c r="A25" s="183"/>
    </row>
    <row r="26" spans="1:1" ht="15.75" thickBot="1">
      <c r="A26" s="183"/>
    </row>
    <row r="27" spans="1:1" ht="15.75" thickBot="1">
      <c r="A27" s="184" t="s">
        <v>156</v>
      </c>
    </row>
    <row r="28" spans="1:1" ht="15.75" thickBot="1">
      <c r="A28" s="183"/>
    </row>
    <row r="29" spans="1:1" ht="15.75" thickBot="1">
      <c r="A29" s="183" t="s">
        <v>157</v>
      </c>
    </row>
    <row r="30" spans="1:1" ht="15.75" thickBot="1">
      <c r="A30" s="183"/>
    </row>
    <row r="31" spans="1:1" ht="15.75" thickBot="1">
      <c r="A31" s="184" t="s">
        <v>158</v>
      </c>
    </row>
    <row r="32" spans="1:1" ht="15.75" thickBot="1">
      <c r="A32" s="185" t="s">
        <v>149</v>
      </c>
    </row>
    <row r="33" spans="1:1" ht="15.75" thickBot="1">
      <c r="A33" s="183"/>
    </row>
    <row r="34" spans="1:1" ht="15.75" thickBot="1">
      <c r="A34" s="183"/>
    </row>
    <row r="35" spans="1:1" ht="15.75" thickBot="1">
      <c r="A35" s="184" t="s">
        <v>159</v>
      </c>
    </row>
    <row r="36" spans="1:1" ht="15.75" thickBot="1">
      <c r="A36" s="183"/>
    </row>
    <row r="37" spans="1:1" ht="15.75" thickBot="1">
      <c r="A37" s="183" t="s">
        <v>160</v>
      </c>
    </row>
    <row r="38" spans="1:1" ht="15.75" thickBot="1">
      <c r="A38" s="183"/>
    </row>
    <row r="39" spans="1:1" ht="15.75" thickBot="1">
      <c r="A39" s="183" t="s">
        <v>161</v>
      </c>
    </row>
    <row r="40" spans="1:1" ht="15.75" thickBot="1">
      <c r="A40" s="183"/>
    </row>
    <row r="41" spans="1:1" ht="15.75" thickBot="1">
      <c r="A41" s="183" t="s">
        <v>162</v>
      </c>
    </row>
    <row r="42" spans="1:1" ht="15.75" thickBot="1">
      <c r="A42" s="183"/>
    </row>
    <row r="43" spans="1:1" ht="15.75" thickBot="1">
      <c r="A43" s="183" t="s">
        <v>163</v>
      </c>
    </row>
    <row r="44" spans="1:1" ht="15.75" thickBot="1">
      <c r="A44" s="183"/>
    </row>
    <row r="45" spans="1:1" ht="15.75" thickBot="1">
      <c r="A45" s="184" t="s">
        <v>164</v>
      </c>
    </row>
    <row r="46" spans="1:1" ht="15.75" thickBot="1">
      <c r="A46" s="185" t="s">
        <v>149</v>
      </c>
    </row>
    <row r="47" spans="1:1" ht="15.75" thickBot="1">
      <c r="A47" s="183"/>
    </row>
    <row r="48" spans="1:1" ht="15.75" thickBot="1">
      <c r="A48" s="183"/>
    </row>
    <row r="49" spans="1:1" ht="15.75" thickBot="1">
      <c r="A49" s="184" t="s">
        <v>165</v>
      </c>
    </row>
    <row r="50" spans="1:1" ht="15.75" thickBot="1">
      <c r="A50" s="183"/>
    </row>
    <row r="51" spans="1:1" ht="15.75" thickBot="1">
      <c r="A51" s="184" t="s">
        <v>166</v>
      </c>
    </row>
    <row r="52" spans="1:1" ht="15.75" thickBot="1">
      <c r="A52" s="183"/>
    </row>
    <row r="53" spans="1:1" ht="15.75" thickBot="1">
      <c r="A53" s="183" t="s">
        <v>167</v>
      </c>
    </row>
    <row r="54" spans="1:1" ht="15.75" thickBot="1">
      <c r="A54" s="185" t="s">
        <v>149</v>
      </c>
    </row>
    <row r="55" spans="1:1" ht="15.75" thickBot="1">
      <c r="A55" s="186"/>
    </row>
    <row r="56" spans="1:1" ht="15.75" thickBot="1">
      <c r="A56" s="186"/>
    </row>
    <row r="57" spans="1:1" ht="15.75" thickBot="1">
      <c r="A57" s="183" t="s">
        <v>168</v>
      </c>
    </row>
  </sheetData>
  <hyperlinks>
    <hyperlink ref="A7" r:id="rId1" display="https://www.seratio.com/customer/67" xr:uid="{00000000-0004-0000-0900-000000000000}"/>
    <hyperlink ref="A11" r:id="rId2" display="https://www.seratio.com/customer/67" xr:uid="{00000000-0004-0000-0900-000001000000}"/>
    <hyperlink ref="A15" r:id="rId3" display="https://www.seratio.com/customer/67" xr:uid="{00000000-0004-0000-0900-000002000000}"/>
    <hyperlink ref="A19" r:id="rId4" display="https://www.seratio.com/customer/67" xr:uid="{00000000-0004-0000-0900-000003000000}"/>
    <hyperlink ref="A23" r:id="rId5" display="https://www.seratio.com/customer/67" xr:uid="{00000000-0004-0000-0900-000004000000}"/>
    <hyperlink ref="A27" r:id="rId6" display="https://www.seratio.com/customer/67" xr:uid="{00000000-0004-0000-0900-000005000000}"/>
    <hyperlink ref="A31" r:id="rId7" display="https://www.seratio.com/customer/67" xr:uid="{00000000-0004-0000-0900-000006000000}"/>
    <hyperlink ref="A35" r:id="rId8" display="https://www.seratio.com/customer/67" xr:uid="{00000000-0004-0000-0900-000007000000}"/>
    <hyperlink ref="A45" r:id="rId9" display="https://www.seratio.com/customer/67" xr:uid="{00000000-0004-0000-0900-000008000000}"/>
    <hyperlink ref="A49" r:id="rId10" display="https://www.seratio.com/customer/67" xr:uid="{00000000-0004-0000-0900-000009000000}"/>
    <hyperlink ref="A51" r:id="rId11" display="https://www.seratio.com/customer/67" xr:uid="{00000000-0004-0000-0900-00000A000000}"/>
  </hyperlinks>
  <pageMargins left="0.7" right="0.7" top="0.75" bottom="0.75" header="0.3" footer="0.3"/>
  <pageSetup paperSize="9" orientation="portrait" r:id="rId12"/>
  <drawing r:id="rId13"/>
  <legacyDrawing r:id="rId14"/>
  <controls>
    <mc:AlternateContent xmlns:mc="http://schemas.openxmlformats.org/markup-compatibility/2006">
      <mc:Choice Requires="x14">
        <control shapeId="12304" r:id="rId15" name="Control 16">
          <controlPr defaultSize="0" r:id="rId1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1</xdr:col>
                <xdr:colOff>304800</xdr:colOff>
                <xdr:row>52</xdr:row>
                <xdr:rowOff>28575</xdr:rowOff>
              </to>
            </anchor>
          </controlPr>
        </control>
      </mc:Choice>
      <mc:Fallback>
        <control shapeId="12304" r:id="rId15" name="Control 16"/>
      </mc:Fallback>
    </mc:AlternateContent>
    <mc:AlternateContent xmlns:mc="http://schemas.openxmlformats.org/markup-compatibility/2006">
      <mc:Choice Requires="x14">
        <control shapeId="12303" r:id="rId17" name="Control 15">
          <controlPr defaultSize="0" r:id="rId16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1</xdr:col>
                <xdr:colOff>304800</xdr:colOff>
                <xdr:row>50</xdr:row>
                <xdr:rowOff>28575</xdr:rowOff>
              </to>
            </anchor>
          </controlPr>
        </control>
      </mc:Choice>
      <mc:Fallback>
        <control shapeId="12303" r:id="rId17" name="Control 15"/>
      </mc:Fallback>
    </mc:AlternateContent>
    <mc:AlternateContent xmlns:mc="http://schemas.openxmlformats.org/markup-compatibility/2006">
      <mc:Choice Requires="x14">
        <control shapeId="12302" r:id="rId18" name="Control 14">
          <controlPr defaultSize="0" r:id="rId16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1</xdr:col>
                <xdr:colOff>304800</xdr:colOff>
                <xdr:row>44</xdr:row>
                <xdr:rowOff>28575</xdr:rowOff>
              </to>
            </anchor>
          </controlPr>
        </control>
      </mc:Choice>
      <mc:Fallback>
        <control shapeId="12302" r:id="rId18" name="Control 14"/>
      </mc:Fallback>
    </mc:AlternateContent>
    <mc:AlternateContent xmlns:mc="http://schemas.openxmlformats.org/markup-compatibility/2006">
      <mc:Choice Requires="x14">
        <control shapeId="12301" r:id="rId19" name="Control 13">
          <controlPr defaultSize="0" r:id="rId16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1</xdr:col>
                <xdr:colOff>304800</xdr:colOff>
                <xdr:row>42</xdr:row>
                <xdr:rowOff>28575</xdr:rowOff>
              </to>
            </anchor>
          </controlPr>
        </control>
      </mc:Choice>
      <mc:Fallback>
        <control shapeId="12301" r:id="rId19" name="Control 13"/>
      </mc:Fallback>
    </mc:AlternateContent>
    <mc:AlternateContent xmlns:mc="http://schemas.openxmlformats.org/markup-compatibility/2006">
      <mc:Choice Requires="x14">
        <control shapeId="12300" r:id="rId20" name="Control 12">
          <controlPr defaultSize="0" r:id="rId16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1</xdr:col>
                <xdr:colOff>304800</xdr:colOff>
                <xdr:row>40</xdr:row>
                <xdr:rowOff>28575</xdr:rowOff>
              </to>
            </anchor>
          </controlPr>
        </control>
      </mc:Choice>
      <mc:Fallback>
        <control shapeId="12300" r:id="rId20" name="Control 12"/>
      </mc:Fallback>
    </mc:AlternateContent>
    <mc:AlternateContent xmlns:mc="http://schemas.openxmlformats.org/markup-compatibility/2006">
      <mc:Choice Requires="x14">
        <control shapeId="12299" r:id="rId21" name="Control 11">
          <controlPr defaultSize="0" r:id="rId16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1</xdr:col>
                <xdr:colOff>304800</xdr:colOff>
                <xdr:row>38</xdr:row>
                <xdr:rowOff>28575</xdr:rowOff>
              </to>
            </anchor>
          </controlPr>
        </control>
      </mc:Choice>
      <mc:Fallback>
        <control shapeId="12299" r:id="rId21" name="Control 11"/>
      </mc:Fallback>
    </mc:AlternateContent>
    <mc:AlternateContent xmlns:mc="http://schemas.openxmlformats.org/markup-compatibility/2006">
      <mc:Choice Requires="x14">
        <control shapeId="12298" r:id="rId22" name="Control 10">
          <controlPr defaultSize="0" r:id="rId16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1</xdr:col>
                <xdr:colOff>304800</xdr:colOff>
                <xdr:row>36</xdr:row>
                <xdr:rowOff>28575</xdr:rowOff>
              </to>
            </anchor>
          </controlPr>
        </control>
      </mc:Choice>
      <mc:Fallback>
        <control shapeId="12298" r:id="rId22" name="Control 10"/>
      </mc:Fallback>
    </mc:AlternateContent>
    <mc:AlternateContent xmlns:mc="http://schemas.openxmlformats.org/markup-compatibility/2006">
      <mc:Choice Requires="x14">
        <control shapeId="12297" r:id="rId23" name="Control 9">
          <controlPr defaultSize="0" r:id="rId16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1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12297" r:id="rId23" name="Control 9"/>
      </mc:Fallback>
    </mc:AlternateContent>
    <mc:AlternateContent xmlns:mc="http://schemas.openxmlformats.org/markup-compatibility/2006">
      <mc:Choice Requires="x14">
        <control shapeId="12296" r:id="rId24" name="Control 8">
          <controlPr defaultSize="0" r:id="rId16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1</xdr:col>
                <xdr:colOff>304800</xdr:colOff>
                <xdr:row>28</xdr:row>
                <xdr:rowOff>28575</xdr:rowOff>
              </to>
            </anchor>
          </controlPr>
        </control>
      </mc:Choice>
      <mc:Fallback>
        <control shapeId="12296" r:id="rId24" name="Control 8"/>
      </mc:Fallback>
    </mc:AlternateContent>
    <mc:AlternateContent xmlns:mc="http://schemas.openxmlformats.org/markup-compatibility/2006">
      <mc:Choice Requires="x14">
        <control shapeId="12295" r:id="rId25" name="Control 7">
          <controlPr defaultSize="0" r:id="rId16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1</xdr:col>
                <xdr:colOff>304800</xdr:colOff>
                <xdr:row>22</xdr:row>
                <xdr:rowOff>28575</xdr:rowOff>
              </to>
            </anchor>
          </controlPr>
        </control>
      </mc:Choice>
      <mc:Fallback>
        <control shapeId="12295" r:id="rId25" name="Control 7"/>
      </mc:Fallback>
    </mc:AlternateContent>
    <mc:AlternateContent xmlns:mc="http://schemas.openxmlformats.org/markup-compatibility/2006">
      <mc:Choice Requires="x14">
        <control shapeId="12294" r:id="rId26" name="Control 6">
          <controlPr defaultSize="0" r:id="rId16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304800</xdr:colOff>
                <xdr:row>20</xdr:row>
                <xdr:rowOff>28575</xdr:rowOff>
              </to>
            </anchor>
          </controlPr>
        </control>
      </mc:Choice>
      <mc:Fallback>
        <control shapeId="12294" r:id="rId26" name="Control 6"/>
      </mc:Fallback>
    </mc:AlternateContent>
    <mc:AlternateContent xmlns:mc="http://schemas.openxmlformats.org/markup-compatibility/2006">
      <mc:Choice Requires="x14">
        <control shapeId="12293" r:id="rId27" name="Control 5">
          <controlPr defaultSize="0" r:id="rId1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304800</xdr:colOff>
                <xdr:row>14</xdr:row>
                <xdr:rowOff>28575</xdr:rowOff>
              </to>
            </anchor>
          </controlPr>
        </control>
      </mc:Choice>
      <mc:Fallback>
        <control shapeId="12293" r:id="rId27" name="Control 5"/>
      </mc:Fallback>
    </mc:AlternateContent>
    <mc:AlternateContent xmlns:mc="http://schemas.openxmlformats.org/markup-compatibility/2006">
      <mc:Choice Requires="x14">
        <control shapeId="12292" r:id="rId28" name="Control 4">
          <controlPr defaultSize="0" r:id="rId16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304800</xdr:colOff>
                <xdr:row>12</xdr:row>
                <xdr:rowOff>28575</xdr:rowOff>
              </to>
            </anchor>
          </controlPr>
        </control>
      </mc:Choice>
      <mc:Fallback>
        <control shapeId="12292" r:id="rId28" name="Control 4"/>
      </mc:Fallback>
    </mc:AlternateContent>
    <mc:AlternateContent xmlns:mc="http://schemas.openxmlformats.org/markup-compatibility/2006">
      <mc:Choice Requires="x14">
        <control shapeId="12291" r:id="rId29" name="Control 3">
          <controlPr defaultSize="0" r:id="rId1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304800</xdr:colOff>
                <xdr:row>6</xdr:row>
                <xdr:rowOff>28575</xdr:rowOff>
              </to>
            </anchor>
          </controlPr>
        </control>
      </mc:Choice>
      <mc:Fallback>
        <control shapeId="12291" r:id="rId29" name="Control 3"/>
      </mc:Fallback>
    </mc:AlternateContent>
    <mc:AlternateContent xmlns:mc="http://schemas.openxmlformats.org/markup-compatibility/2006">
      <mc:Choice Requires="x14">
        <control shapeId="12290" r:id="rId30" name="Control 2">
          <controlPr defaultSize="0" r:id="rId1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304800</xdr:colOff>
                <xdr:row>4</xdr:row>
                <xdr:rowOff>28575</xdr:rowOff>
              </to>
            </anchor>
          </controlPr>
        </control>
      </mc:Choice>
      <mc:Fallback>
        <control shapeId="12290" r:id="rId30" name="Control 2"/>
      </mc:Fallback>
    </mc:AlternateContent>
    <mc:AlternateContent xmlns:mc="http://schemas.openxmlformats.org/markup-compatibility/2006">
      <mc:Choice Requires="x14">
        <control shapeId="12289" r:id="rId31" name="Control 1">
          <controlPr defaultSize="0" r:id="rId1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28575</xdr:rowOff>
              </to>
            </anchor>
          </controlPr>
        </control>
      </mc:Choice>
      <mc:Fallback>
        <control shapeId="12289" r:id="rId31" name="Control 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A27"/>
  <sheetViews>
    <sheetView workbookViewId="0">
      <selection sqref="A1:A27"/>
    </sheetView>
  </sheetViews>
  <sheetFormatPr defaultRowHeight="15"/>
  <sheetData>
    <row r="1" spans="1:1" ht="16.5" thickTop="1" thickBot="1">
      <c r="A1" s="188" t="s">
        <v>169</v>
      </c>
    </row>
    <row r="2" spans="1:1" ht="16.5" thickTop="1" thickBot="1">
      <c r="A2" s="187"/>
    </row>
    <row r="3" spans="1:1" ht="16.5" thickTop="1" thickBot="1">
      <c r="A3" s="188" t="s">
        <v>170</v>
      </c>
    </row>
    <row r="4" spans="1:1" ht="16.5" thickTop="1" thickBot="1">
      <c r="A4" s="187"/>
    </row>
    <row r="5" spans="1:1" ht="16.5" thickTop="1" thickBot="1">
      <c r="A5" s="188" t="s">
        <v>171</v>
      </c>
    </row>
    <row r="6" spans="1:1" ht="16.5" thickTop="1" thickBot="1">
      <c r="A6" s="187"/>
    </row>
    <row r="7" spans="1:1" ht="16.5" thickTop="1" thickBot="1">
      <c r="A7" s="188" t="s">
        <v>172</v>
      </c>
    </row>
    <row r="8" spans="1:1" ht="16.5" thickTop="1" thickBot="1">
      <c r="A8" s="187"/>
    </row>
    <row r="9" spans="1:1" ht="16.5" thickTop="1" thickBot="1">
      <c r="A9" s="188" t="s">
        <v>173</v>
      </c>
    </row>
    <row r="10" spans="1:1" ht="16.5" thickTop="1" thickBot="1">
      <c r="A10" s="187"/>
    </row>
    <row r="11" spans="1:1" ht="16.5" thickTop="1" thickBot="1">
      <c r="A11" s="188" t="s">
        <v>174</v>
      </c>
    </row>
    <row r="12" spans="1:1" ht="16.5" thickTop="1" thickBot="1">
      <c r="A12" s="187"/>
    </row>
    <row r="13" spans="1:1" ht="16.5" thickTop="1" thickBot="1">
      <c r="A13" s="188" t="s">
        <v>175</v>
      </c>
    </row>
    <row r="14" spans="1:1" ht="16.5" thickTop="1" thickBot="1">
      <c r="A14" s="187"/>
    </row>
    <row r="15" spans="1:1" ht="16.5" thickTop="1" thickBot="1">
      <c r="A15" s="188" t="s">
        <v>176</v>
      </c>
    </row>
    <row r="16" spans="1:1" ht="16.5" thickTop="1" thickBot="1">
      <c r="A16" s="187"/>
    </row>
    <row r="17" spans="1:1" ht="16.5" thickTop="1" thickBot="1">
      <c r="A17" s="188" t="s">
        <v>177</v>
      </c>
    </row>
    <row r="18" spans="1:1" ht="16.5" thickTop="1" thickBot="1">
      <c r="A18" s="187"/>
    </row>
    <row r="19" spans="1:1" ht="16.5" thickTop="1" thickBot="1">
      <c r="A19" s="188" t="s">
        <v>178</v>
      </c>
    </row>
    <row r="20" spans="1:1" ht="16.5" thickTop="1" thickBot="1">
      <c r="A20" s="187"/>
    </row>
    <row r="21" spans="1:1" ht="16.5" thickTop="1" thickBot="1">
      <c r="A21" s="187" t="s">
        <v>179</v>
      </c>
    </row>
    <row r="22" spans="1:1" ht="16.5" thickTop="1" thickBot="1">
      <c r="A22" s="187"/>
    </row>
    <row r="23" spans="1:1" ht="16.5" thickTop="1" thickBot="1">
      <c r="A23" s="187" t="s">
        <v>163</v>
      </c>
    </row>
    <row r="24" spans="1:1" ht="16.5" thickTop="1" thickBot="1">
      <c r="A24" s="187"/>
    </row>
    <row r="25" spans="1:1" ht="16.5" thickTop="1" thickBot="1">
      <c r="A25" s="188" t="s">
        <v>180</v>
      </c>
    </row>
    <row r="26" spans="1:1" ht="16.5" thickTop="1" thickBot="1">
      <c r="A26" s="187"/>
    </row>
    <row r="27" spans="1:1" ht="15.75" thickTop="1">
      <c r="A27" s="188" t="s">
        <v>181</v>
      </c>
    </row>
  </sheetData>
  <hyperlinks>
    <hyperlink ref="A1" r:id="rId1" display="https://www.seratio.com/bidders/create?contract_id=69" xr:uid="{00000000-0004-0000-0A00-000000000000}"/>
    <hyperlink ref="A3" r:id="rId2" display="https://www.seratio.com/bidders/create?contract_id=69" xr:uid="{00000000-0004-0000-0A00-000001000000}"/>
    <hyperlink ref="A5" r:id="rId3" display="https://www.seratio.com/bidders/create?contract_id=69" xr:uid="{00000000-0004-0000-0A00-000002000000}"/>
    <hyperlink ref="A7" r:id="rId4" display="https://www.seratio.com/bidders/create?contract_id=69" xr:uid="{00000000-0004-0000-0A00-000003000000}"/>
    <hyperlink ref="A9" r:id="rId5" display="https://www.seratio.com/bidders/create?contract_id=69" xr:uid="{00000000-0004-0000-0A00-000004000000}"/>
    <hyperlink ref="A11" r:id="rId6" display="https://www.seratio.com/bidders/create?contract_id=69" xr:uid="{00000000-0004-0000-0A00-000005000000}"/>
    <hyperlink ref="A13" r:id="rId7" display="https://www.seratio.com/bidders/create?contract_id=69" xr:uid="{00000000-0004-0000-0A00-000006000000}"/>
    <hyperlink ref="A15" r:id="rId8" display="https://www.seratio.com/bidders/create?contract_id=69" xr:uid="{00000000-0004-0000-0A00-000007000000}"/>
    <hyperlink ref="A17" r:id="rId9" display="https://www.seratio.com/bidders/create?contract_id=69" xr:uid="{00000000-0004-0000-0A00-000008000000}"/>
    <hyperlink ref="A19" r:id="rId10" display="https://www.seratio.com/bidders/create?contract_id=69" xr:uid="{00000000-0004-0000-0A00-000009000000}"/>
    <hyperlink ref="A25" r:id="rId11" display="https://www.seratio.com/bidders/create?contract_id=69" xr:uid="{00000000-0004-0000-0A00-00000A000000}"/>
    <hyperlink ref="A27" r:id="rId12" display="https://www.seratio.com/bidders/create?contract_id=69" xr:uid="{00000000-0004-0000-0A00-00000B000000}"/>
  </hyperlinks>
  <pageMargins left="0.7" right="0.7" top="0.75" bottom="0.75" header="0.3" footer="0.3"/>
  <drawing r:id="rId13"/>
  <legacyDrawing r:id="rId14"/>
  <controls>
    <mc:AlternateContent xmlns:mc="http://schemas.openxmlformats.org/markup-compatibility/2006">
      <mc:Choice Requires="x14">
        <control shapeId="13325" r:id="rId15" name="Control 13">
          <controlPr defaultSize="0" r:id="rId16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1</xdr:col>
                <xdr:colOff>304800</xdr:colOff>
                <xdr:row>26</xdr:row>
                <xdr:rowOff>19050</xdr:rowOff>
              </to>
            </anchor>
          </controlPr>
        </control>
      </mc:Choice>
      <mc:Fallback>
        <control shapeId="13325" r:id="rId15" name="Control 13"/>
      </mc:Fallback>
    </mc:AlternateContent>
    <mc:AlternateContent xmlns:mc="http://schemas.openxmlformats.org/markup-compatibility/2006">
      <mc:Choice Requires="x14">
        <control shapeId="13324" r:id="rId17" name="Control 12">
          <controlPr defaultSize="0" r:id="rId16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1</xdr:col>
                <xdr:colOff>304800</xdr:colOff>
                <xdr:row>24</xdr:row>
                <xdr:rowOff>19050</xdr:rowOff>
              </to>
            </anchor>
          </controlPr>
        </control>
      </mc:Choice>
      <mc:Fallback>
        <control shapeId="13324" r:id="rId17" name="Control 12"/>
      </mc:Fallback>
    </mc:AlternateContent>
    <mc:AlternateContent xmlns:mc="http://schemas.openxmlformats.org/markup-compatibility/2006">
      <mc:Choice Requires="x14">
        <control shapeId="13323" r:id="rId18" name="Control 11">
          <controlPr defaultSize="0" r:id="rId16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1</xdr:col>
                <xdr:colOff>304800</xdr:colOff>
                <xdr:row>22</xdr:row>
                <xdr:rowOff>19050</xdr:rowOff>
              </to>
            </anchor>
          </controlPr>
        </control>
      </mc:Choice>
      <mc:Fallback>
        <control shapeId="13323" r:id="rId18" name="Control 11"/>
      </mc:Fallback>
    </mc:AlternateContent>
    <mc:AlternateContent xmlns:mc="http://schemas.openxmlformats.org/markup-compatibility/2006">
      <mc:Choice Requires="x14">
        <control shapeId="13322" r:id="rId19" name="Control 10">
          <controlPr defaultSize="0" r:id="rId16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304800</xdr:colOff>
                <xdr:row>20</xdr:row>
                <xdr:rowOff>19050</xdr:rowOff>
              </to>
            </anchor>
          </controlPr>
        </control>
      </mc:Choice>
      <mc:Fallback>
        <control shapeId="13322" r:id="rId19" name="Control 10"/>
      </mc:Fallback>
    </mc:AlternateContent>
    <mc:AlternateContent xmlns:mc="http://schemas.openxmlformats.org/markup-compatibility/2006">
      <mc:Choice Requires="x14">
        <control shapeId="13321" r:id="rId20" name="Control 9">
          <controlPr defaultSize="0" r:id="rId16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1</xdr:col>
                <xdr:colOff>304800</xdr:colOff>
                <xdr:row>18</xdr:row>
                <xdr:rowOff>19050</xdr:rowOff>
              </to>
            </anchor>
          </controlPr>
        </control>
      </mc:Choice>
      <mc:Fallback>
        <control shapeId="13321" r:id="rId20" name="Control 9"/>
      </mc:Fallback>
    </mc:AlternateContent>
    <mc:AlternateContent xmlns:mc="http://schemas.openxmlformats.org/markup-compatibility/2006">
      <mc:Choice Requires="x14">
        <control shapeId="13320" r:id="rId21" name="Control 8">
          <controlPr defaultSize="0" r:id="rId16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</xdr:col>
                <xdr:colOff>304800</xdr:colOff>
                <xdr:row>16</xdr:row>
                <xdr:rowOff>19050</xdr:rowOff>
              </to>
            </anchor>
          </controlPr>
        </control>
      </mc:Choice>
      <mc:Fallback>
        <control shapeId="13320" r:id="rId21" name="Control 8"/>
      </mc:Fallback>
    </mc:AlternateContent>
    <mc:AlternateContent xmlns:mc="http://schemas.openxmlformats.org/markup-compatibility/2006">
      <mc:Choice Requires="x14">
        <control shapeId="13319" r:id="rId22" name="Control 7">
          <controlPr defaultSize="0" r:id="rId1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304800</xdr:colOff>
                <xdr:row>14</xdr:row>
                <xdr:rowOff>19050</xdr:rowOff>
              </to>
            </anchor>
          </controlPr>
        </control>
      </mc:Choice>
      <mc:Fallback>
        <control shapeId="13319" r:id="rId22" name="Control 7"/>
      </mc:Fallback>
    </mc:AlternateContent>
    <mc:AlternateContent xmlns:mc="http://schemas.openxmlformats.org/markup-compatibility/2006">
      <mc:Choice Requires="x14">
        <control shapeId="13318" r:id="rId23" name="Control 6">
          <controlPr defaultSize="0" r:id="rId16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304800</xdr:colOff>
                <xdr:row>12</xdr:row>
                <xdr:rowOff>19050</xdr:rowOff>
              </to>
            </anchor>
          </controlPr>
        </control>
      </mc:Choice>
      <mc:Fallback>
        <control shapeId="13318" r:id="rId23" name="Control 6"/>
      </mc:Fallback>
    </mc:AlternateContent>
    <mc:AlternateContent xmlns:mc="http://schemas.openxmlformats.org/markup-compatibility/2006">
      <mc:Choice Requires="x14">
        <control shapeId="13317" r:id="rId24" name="Control 5">
          <controlPr defaultSize="0" r:id="rId16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304800</xdr:colOff>
                <xdr:row>10</xdr:row>
                <xdr:rowOff>19050</xdr:rowOff>
              </to>
            </anchor>
          </controlPr>
        </control>
      </mc:Choice>
      <mc:Fallback>
        <control shapeId="13317" r:id="rId24" name="Control 5"/>
      </mc:Fallback>
    </mc:AlternateContent>
    <mc:AlternateContent xmlns:mc="http://schemas.openxmlformats.org/markup-compatibility/2006">
      <mc:Choice Requires="x14">
        <control shapeId="13316" r:id="rId25" name="Control 4">
          <controlPr defaultSize="0" r:id="rId16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1</xdr:col>
                <xdr:colOff>304800</xdr:colOff>
                <xdr:row>8</xdr:row>
                <xdr:rowOff>19050</xdr:rowOff>
              </to>
            </anchor>
          </controlPr>
        </control>
      </mc:Choice>
      <mc:Fallback>
        <control shapeId="13316" r:id="rId25" name="Control 4"/>
      </mc:Fallback>
    </mc:AlternateContent>
    <mc:AlternateContent xmlns:mc="http://schemas.openxmlformats.org/markup-compatibility/2006">
      <mc:Choice Requires="x14">
        <control shapeId="13315" r:id="rId26" name="Control 3">
          <controlPr defaultSize="0" r:id="rId1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304800</xdr:colOff>
                <xdr:row>6</xdr:row>
                <xdr:rowOff>19050</xdr:rowOff>
              </to>
            </anchor>
          </controlPr>
        </control>
      </mc:Choice>
      <mc:Fallback>
        <control shapeId="13315" r:id="rId26" name="Control 3"/>
      </mc:Fallback>
    </mc:AlternateContent>
    <mc:AlternateContent xmlns:mc="http://schemas.openxmlformats.org/markup-compatibility/2006">
      <mc:Choice Requires="x14">
        <control shapeId="13314" r:id="rId27" name="Control 2">
          <controlPr defaultSize="0" r:id="rId2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304800</xdr:colOff>
                <xdr:row>4</xdr:row>
                <xdr:rowOff>19050</xdr:rowOff>
              </to>
            </anchor>
          </controlPr>
        </control>
      </mc:Choice>
      <mc:Fallback>
        <control shapeId="13314" r:id="rId27" name="Control 2"/>
      </mc:Fallback>
    </mc:AlternateContent>
    <mc:AlternateContent xmlns:mc="http://schemas.openxmlformats.org/markup-compatibility/2006">
      <mc:Choice Requires="x14">
        <control shapeId="13313" r:id="rId29" name="Control 1">
          <controlPr defaultSize="0" r:id="rId3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19050</xdr:rowOff>
              </to>
            </anchor>
          </controlPr>
        </control>
      </mc:Choice>
      <mc:Fallback>
        <control shapeId="13313" r:id="rId29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68CE-2521-41BE-A7A6-E87FBEAD8A2F}">
  <dimension ref="A1:J169"/>
  <sheetViews>
    <sheetView topLeftCell="A4" workbookViewId="0">
      <selection activeCell="F22" sqref="F22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>
        <v>42183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>
        <f>E120/E9</f>
        <v>0.21710177254839982</v>
      </c>
      <c r="E3" s="207"/>
      <c r="F3" s="104"/>
      <c r="G3" s="104"/>
      <c r="H3" s="63"/>
      <c r="I3" s="78">
        <f>G6</f>
        <v>2.2000000000000002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2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16</v>
      </c>
      <c r="F6" s="137">
        <v>8</v>
      </c>
      <c r="G6" s="103">
        <f>F120</f>
        <v>2.2000000000000002</v>
      </c>
      <c r="H6" s="137"/>
      <c r="I6" s="137">
        <f>I3+($E$36*1000000)*E120</f>
        <v>4206392.0292762117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3</v>
      </c>
      <c r="F7" s="137">
        <v>0</v>
      </c>
      <c r="G7" s="103">
        <f>F7</f>
        <v>0</v>
      </c>
      <c r="H7" s="137"/>
      <c r="I7" s="137">
        <f>I4+($E$36*1000000)*E7</f>
        <v>785481.00000000012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55</v>
      </c>
      <c r="F8" s="137">
        <v>2</v>
      </c>
      <c r="G8" s="103">
        <f>F8</f>
        <v>2</v>
      </c>
      <c r="H8" s="137"/>
      <c r="I8" s="137">
        <f>I5+($E$36*1000000)*E8</f>
        <v>14400487.000000002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74</v>
      </c>
      <c r="F9" s="67">
        <f>SUM(F6:F8)</f>
        <v>10</v>
      </c>
      <c r="G9" s="105">
        <f>SUM(G6:G8)</f>
        <v>4.2</v>
      </c>
      <c r="H9" s="67"/>
      <c r="I9" s="67">
        <f>SUM(I6:I8)</f>
        <v>19392360.029276215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16</v>
      </c>
      <c r="F10" s="106">
        <f>F6</f>
        <v>8</v>
      </c>
      <c r="G10" s="106">
        <f>G6</f>
        <v>2.2000000000000002</v>
      </c>
      <c r="H10" s="68"/>
      <c r="I10" s="68">
        <f>I6</f>
        <v>4206392.0292762117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0.21621621621621623</v>
      </c>
      <c r="F11" s="192">
        <f>F6/F9</f>
        <v>0.8</v>
      </c>
      <c r="G11" s="107">
        <f>G6/G9</f>
        <v>0.52380952380952384</v>
      </c>
      <c r="H11" s="69"/>
      <c r="I11" s="191">
        <f>I6/I9</f>
        <v>0.21690975327014944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12.715515</v>
      </c>
      <c r="F13" s="103">
        <v>2.1514999999999999E-2</v>
      </c>
      <c r="G13" s="103">
        <f>E13+F13</f>
        <v>12.737030000000001</v>
      </c>
      <c r="H13" s="137"/>
      <c r="I13" s="103">
        <f>G13-H13</f>
        <v>12.737030000000001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2.7</v>
      </c>
      <c r="F15" s="103">
        <v>2.7</v>
      </c>
      <c r="G15" s="103">
        <v>2.7</v>
      </c>
      <c r="H15" s="103"/>
      <c r="I15" s="103">
        <v>2.7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1277.2370000000001</v>
      </c>
      <c r="F16" s="108">
        <v>1277.2370000000001</v>
      </c>
      <c r="G16" s="108">
        <v>1277.2370000000001</v>
      </c>
      <c r="H16" s="108"/>
      <c r="I16" s="108">
        <v>1277.2370000000001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2149</v>
      </c>
      <c r="F17" s="103">
        <v>2149</v>
      </c>
      <c r="G17" s="103">
        <v>2149</v>
      </c>
      <c r="H17" s="103"/>
      <c r="I17" s="103">
        <v>2149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1338</v>
      </c>
      <c r="F18" s="103">
        <v>1338</v>
      </c>
      <c r="G18" s="103">
        <v>1338</v>
      </c>
      <c r="H18" s="103"/>
      <c r="I18" s="103">
        <v>1338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105"/>
      <c r="I20" s="105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105"/>
      <c r="I21" s="105">
        <v>23</v>
      </c>
      <c r="J21" s="67"/>
    </row>
    <row r="22" spans="1:10" ht="15.75" thickBot="1">
      <c r="D22" s="144"/>
      <c r="F22" s="118"/>
    </row>
    <row r="23" spans="1:10">
      <c r="A23" s="1" t="s">
        <v>340</v>
      </c>
      <c r="B23" s="19"/>
      <c r="C23" s="19"/>
      <c r="D23" s="144" t="s">
        <v>19</v>
      </c>
      <c r="E23" s="103">
        <v>0.25967800000000002</v>
      </c>
      <c r="F23" s="103">
        <v>1.0000000000000001E-5</v>
      </c>
      <c r="G23" s="103">
        <f>F23+E23</f>
        <v>0.25968800000000003</v>
      </c>
      <c r="H23" s="137"/>
      <c r="I23" s="103">
        <f>H23+G23</f>
        <v>0.25968800000000003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0.26182700000000003</v>
      </c>
      <c r="F36" s="109"/>
      <c r="G36" s="208">
        <f>SUM(G23:G34)+G17/1000000</f>
        <v>0.26183700000000004</v>
      </c>
      <c r="H36" s="75"/>
      <c r="I36" s="222">
        <f>SUM(I23:I34)+I17/1000000</f>
        <v>0.26183700000000004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1.143</v>
      </c>
      <c r="F38" s="110"/>
      <c r="G38" s="110">
        <v>1.143</v>
      </c>
      <c r="H38" s="110"/>
      <c r="I38" s="110">
        <v>1.143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16</v>
      </c>
      <c r="F40" s="111"/>
      <c r="G40" s="111">
        <f>G10</f>
        <v>2.2000000000000002</v>
      </c>
      <c r="H40" s="72"/>
      <c r="I40" s="72">
        <f>I10</f>
        <v>4206392.0292762117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0.21621621621621623</v>
      </c>
      <c r="F41" s="112"/>
      <c r="G41" s="112">
        <f>G11</f>
        <v>0.52380952380952384</v>
      </c>
      <c r="H41" s="74"/>
      <c r="I41" s="74">
        <f>I11</f>
        <v>0.21690975327014944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12.715515</v>
      </c>
      <c r="F42" s="112"/>
      <c r="G42" s="112">
        <f>G13</f>
        <v>12.737030000000001</v>
      </c>
      <c r="H42" s="74"/>
      <c r="I42" s="74">
        <f>I13</f>
        <v>12.737030000000001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7.2251999999999997E-2</v>
      </c>
      <c r="F43" s="111"/>
      <c r="G43" s="111">
        <f>G18*G20/1000000</f>
        <v>7.2251999999999997E-2</v>
      </c>
      <c r="H43" s="72"/>
      <c r="I43" s="220">
        <f>I18*I20/1000000</f>
        <v>7.2251999999999997E-2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26.865882053209564</v>
      </c>
      <c r="F44" s="112"/>
      <c r="G44" s="112">
        <f>(G36*G16/G15)*G6/G9</f>
        <v>64.880193087460341</v>
      </c>
      <c r="H44" s="87"/>
      <c r="I44" s="221">
        <f>(I36*I16/I15)*I6/I9</f>
        <v>26.866916379012199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13.858515000000001</v>
      </c>
      <c r="F45" s="112"/>
      <c r="G45" s="112">
        <f>G38+G13</f>
        <v>13.880030000000001</v>
      </c>
      <c r="H45" s="74"/>
      <c r="I45" s="221">
        <f>I38+I13</f>
        <v>13.880030000000001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3.2084149995662434</v>
      </c>
      <c r="F47" s="114"/>
      <c r="G47" s="114">
        <f>(G43+G38+G13+(G36*G16/G15)*G6/G9)/(G13*POWER(10,G14))</f>
        <v>6.1892352524458474</v>
      </c>
      <c r="H47" s="73"/>
      <c r="I47" s="219">
        <f>(I43+I38+I13+(I36*I16/I15)*I6/I9)/(I13*POWER(10,I14))</f>
        <v>3.2047658189556119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40.796649053209563</v>
      </c>
      <c r="F48" s="114"/>
      <c r="G48" s="114">
        <f>G13*G47</f>
        <v>78.832475087460338</v>
      </c>
      <c r="H48" s="73"/>
      <c r="I48" s="73">
        <f>I13*I47</f>
        <v>40.819198379012199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28.081134053209563</v>
      </c>
      <c r="F49" s="114"/>
      <c r="G49" s="114">
        <f>G48-G13</f>
        <v>66.095445087460334</v>
      </c>
      <c r="H49" s="87"/>
      <c r="I49" s="219">
        <f>I48-I13</f>
        <v>28.082168379012199</v>
      </c>
      <c r="J49" s="87">
        <f>I49-E49</f>
        <v>1.0343258026352942E-3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2.1985844485564981E-2</v>
      </c>
      <c r="F50" s="115"/>
      <c r="G50" s="115">
        <f>G49/G16</f>
        <v>5.1748771048333496E-2</v>
      </c>
      <c r="H50" s="76"/>
      <c r="I50" s="76">
        <f>I49/I16</f>
        <v>2.1986654300660095E-2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1.771027809312583E-3</v>
      </c>
      <c r="F52" s="117"/>
      <c r="G52" s="117">
        <f>G43/(G43+G44+G45)</f>
        <v>9.1652583430674127E-4</v>
      </c>
      <c r="H52" s="79"/>
      <c r="I52" s="79">
        <f>I43/(I43+I44+I45)</f>
        <v>1.7700494588141996E-3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0.65853158719407046</v>
      </c>
      <c r="F53" s="117"/>
      <c r="G53" s="117">
        <f>G44/(G43+G44+G45)</f>
        <v>0.82301352349370338</v>
      </c>
      <c r="H53" s="79"/>
      <c r="I53" s="79">
        <f>I44/(I43+I44+I45)</f>
        <v>0.65819314062831336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0.339697384996617</v>
      </c>
      <c r="F54" s="117"/>
      <c r="G54" s="117">
        <f>G45/(G43+G44+G45)</f>
        <v>0.17606995067198972</v>
      </c>
      <c r="H54" s="79"/>
      <c r="I54" s="79">
        <f>I45/(I43+I44+I45)</f>
        <v>0.34003680991287244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0.82</v>
      </c>
      <c r="F60" s="119"/>
      <c r="G60" s="119">
        <v>0.82</v>
      </c>
      <c r="H60" s="119"/>
      <c r="I60" s="119">
        <v>0.82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0.25</v>
      </c>
      <c r="F61" s="119"/>
      <c r="G61" s="119">
        <v>0.25</v>
      </c>
      <c r="H61" s="119"/>
      <c r="I61" s="119">
        <v>0.25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84.334999999999994</v>
      </c>
      <c r="F62" s="120"/>
      <c r="G62" s="120">
        <v>84.334999999999994</v>
      </c>
      <c r="H62" s="120"/>
      <c r="I62" s="120">
        <v>84.334999999999994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f>E62-E60-E61</f>
        <v>83.265000000000001</v>
      </c>
      <c r="F63" s="121"/>
      <c r="G63" s="121">
        <f>G62-G60-G61</f>
        <v>83.265000000000001</v>
      </c>
      <c r="H63" s="121"/>
      <c r="I63" s="121">
        <f>I62-I60-I61</f>
        <v>83.265000000000001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6</v>
      </c>
      <c r="F66" s="103"/>
      <c r="G66" s="103">
        <v>6</v>
      </c>
      <c r="H66" s="103"/>
      <c r="I66" s="103">
        <v>6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27</v>
      </c>
      <c r="H67" s="103"/>
      <c r="I67" s="103">
        <v>27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33</v>
      </c>
      <c r="F68" s="123"/>
      <c r="G68" s="123">
        <f>SUM(G66:G67)</f>
        <v>33</v>
      </c>
      <c r="H68" s="53"/>
      <c r="I68" s="53">
        <f>SUM(I66:I67)</f>
        <v>33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2149</v>
      </c>
      <c r="F69" s="123"/>
      <c r="G69" s="123">
        <f>G17</f>
        <v>2149</v>
      </c>
      <c r="H69" s="53"/>
      <c r="I69" s="53">
        <f>I17</f>
        <v>2149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1.143</v>
      </c>
      <c r="F72" s="119"/>
      <c r="G72" s="119">
        <v>1.143</v>
      </c>
      <c r="H72" s="119"/>
      <c r="I72" s="119">
        <v>1.143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0.224</v>
      </c>
      <c r="F73" s="119"/>
      <c r="G73" s="119">
        <v>0.224</v>
      </c>
      <c r="H73" s="119"/>
      <c r="I73" s="119">
        <v>0.224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87.09</v>
      </c>
      <c r="F74" s="120"/>
      <c r="G74" s="120">
        <v>87.09</v>
      </c>
      <c r="H74" s="120"/>
      <c r="I74" s="120">
        <v>87.09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85.722999999999999</v>
      </c>
      <c r="F75" s="121"/>
      <c r="G75" s="121">
        <f>G74-G72-G73</f>
        <v>85.722999999999999</v>
      </c>
      <c r="H75" s="121"/>
      <c r="I75" s="121">
        <f>I74-I72-I73</f>
        <v>85.722999999999999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8</v>
      </c>
      <c r="F78" s="122"/>
      <c r="G78" s="122">
        <v>8</v>
      </c>
      <c r="H78" s="122"/>
      <c r="I78" s="122">
        <v>8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27</v>
      </c>
      <c r="H79" s="122"/>
      <c r="I79" s="122">
        <v>27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35</v>
      </c>
      <c r="F80" s="124"/>
      <c r="G80" s="124">
        <f>SUM(G78:G79)</f>
        <v>35</v>
      </c>
      <c r="H80" s="124"/>
      <c r="I80" s="124">
        <f>SUM(I78:I79)</f>
        <v>35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2286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3.9350189035916826E-2</v>
      </c>
      <c r="F84" s="125"/>
      <c r="G84" s="125">
        <f>G63/(G69-G68)</f>
        <v>3.9350189035916826E-2</v>
      </c>
      <c r="H84" s="55"/>
      <c r="I84" s="55">
        <f>I63/(I69-I68)</f>
        <v>3.9350189035916826E-2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3.8082185695246559E-2</v>
      </c>
      <c r="F85" s="126"/>
      <c r="G85" s="126">
        <f>G75/(G81-G80)</f>
        <v>4.0550141911069065E-2</v>
      </c>
      <c r="H85" s="62"/>
      <c r="I85" s="62">
        <f>I75/(I81-I80)</f>
        <v>4.0550141911069065E-2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3.2424242424242418E-2</v>
      </c>
      <c r="F86" s="125"/>
      <c r="G86" s="125">
        <f>IF(G68=0,0,(G60+G61)/G68)</f>
        <v>3.2424242424242418E-2</v>
      </c>
      <c r="H86" s="55"/>
      <c r="I86" s="55">
        <f>IF(I68=0,0,(I60+I61)/I68)</f>
        <v>3.2424242424242418E-2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3.905714285714286E-2</v>
      </c>
      <c r="F87" s="125"/>
      <c r="G87" s="125">
        <f>IF(G80=0,0,(G72+G73)/G80)</f>
        <v>3.905714285714286E-2</v>
      </c>
      <c r="H87" s="55"/>
      <c r="I87" s="55">
        <f>IF(I80=0,0,(I72+I73)/I80)</f>
        <v>3.905714285714286E-2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0.83017445855777949</v>
      </c>
      <c r="F90" s="126"/>
      <c r="G90" s="126">
        <f>IF(G87=0,0,G86/G87)</f>
        <v>0.83017445855777949</v>
      </c>
      <c r="H90" s="62"/>
      <c r="I90" s="62">
        <f>IF(I87=0,0,I86/I87)</f>
        <v>0.83017445855777949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1.0332964959211504</v>
      </c>
      <c r="F92" s="125"/>
      <c r="G92" s="125">
        <f>IF(G85=0,0,G84/G85)</f>
        <v>0.97040817075846819</v>
      </c>
      <c r="H92" s="55"/>
      <c r="I92" s="55">
        <f>IF(I85=0,0,I84/I85)</f>
        <v>0.97040817075846819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-0.1086702899894034</v>
      </c>
      <c r="F96" s="128"/>
      <c r="G96" s="128">
        <f>(G60+G61)*(G90-G92)/2</f>
        <v>-7.5025036027368444E-2</v>
      </c>
      <c r="H96" s="57"/>
      <c r="I96" s="57">
        <f>(I60+I61)*(I90-I92)/2</f>
        <v>-7.5025036027368444E-2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3.2169612747261098</v>
      </c>
      <c r="F99" s="129"/>
      <c r="G99" s="129">
        <f>G100/G42</f>
        <v>6.1951255609422056</v>
      </c>
      <c r="H99" s="58"/>
      <c r="I99" s="58">
        <f>I100/I42</f>
        <v>3.21065612745197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40.905319343198968</v>
      </c>
      <c r="F100" s="130"/>
      <c r="G100" s="130">
        <f>G42+G101</f>
        <v>78.907500123487708</v>
      </c>
      <c r="H100" s="59"/>
      <c r="I100" s="59">
        <f>I42+I101</f>
        <v>40.894223415039569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28.189804343198968</v>
      </c>
      <c r="F101" s="131"/>
      <c r="G101" s="131">
        <f>G49-(G95+G96)</f>
        <v>66.170470123487704</v>
      </c>
      <c r="H101" s="60"/>
      <c r="I101" s="60">
        <f>I49-(I95+I96)</f>
        <v>28.157193415039568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2.2070926807788192E-2</v>
      </c>
      <c r="F102" s="132"/>
      <c r="G102" s="132">
        <f>G101/G16</f>
        <v>5.1807511153754315E-2</v>
      </c>
      <c r="H102" s="61"/>
      <c r="I102" s="61">
        <f>I101/I16</f>
        <v>2.2045394406080911E-2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74</v>
      </c>
      <c r="F110" s="152">
        <v>1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2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1.9429081177520071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9.5904301963650906E-2</v>
      </c>
      <c r="F115" s="163">
        <f>SQRT((1.65*1.65)*0.5*(1-0.5)/F110)</f>
        <v>0.82499999999999996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16</v>
      </c>
      <c r="F116" s="164">
        <f>F6</f>
        <v>8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-6.5531168581585586E-2</v>
      </c>
      <c r="F117" s="200">
        <f>(F115-F108)*F6</f>
        <v>5.8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0.21710177254839982</v>
      </c>
      <c r="F118" s="136">
        <f>F6/F9*(1-(F115-F108))</f>
        <v>0.22000000000000003</v>
      </c>
      <c r="G118" s="136"/>
    </row>
    <row r="119" spans="1:10">
      <c r="A119" s="148" t="s">
        <v>183</v>
      </c>
      <c r="E119" s="102">
        <f>E6/E9</f>
        <v>0.21621621621621623</v>
      </c>
      <c r="F119" s="102">
        <f>F6/F9</f>
        <v>0.8</v>
      </c>
    </row>
    <row r="120" spans="1:10">
      <c r="A120" s="148" t="s">
        <v>89</v>
      </c>
      <c r="E120" s="102">
        <f>E118*E9</f>
        <v>16.065531168581586</v>
      </c>
      <c r="F120" s="102">
        <f>F118*F9</f>
        <v>2.2000000000000002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 t="s">
        <v>192</v>
      </c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28.081134053209563</v>
      </c>
      <c r="F125" s="218">
        <f>I49</f>
        <v>28.082168379012199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0</v>
      </c>
      <c r="F126" s="169">
        <v>0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No</v>
      </c>
      <c r="F127" s="165" t="str">
        <f>IF(F126&gt;0,"Yes","No")</f>
        <v>No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28.081134053209563</v>
      </c>
      <c r="F129" s="209">
        <f>F125-(F128/40075)*F126*F125</f>
        <v>28.082168379012199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1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4.7289999999999999E-2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4.7289999999999999E-2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3.5999999999999997E-2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0.03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2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1.0343258026352942E-3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28.081134053209563</v>
      </c>
      <c r="D150" s="212">
        <f>F129</f>
        <v>28.082168379012199</v>
      </c>
      <c r="E150" s="136"/>
      <c r="F150" s="137">
        <f>B150+(E140/E139)</f>
        <v>28.081651216110881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1.8416738452931014E-5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1.0343258026352942E-3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0.60755492271991629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1.0343258026352942E-3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4.3743954435833968E-2</v>
      </c>
    </row>
    <row r="161" spans="1:8">
      <c r="A161" s="51"/>
      <c r="E161" s="136"/>
      <c r="F161" s="136"/>
      <c r="G161" s="136"/>
    </row>
    <row r="162" spans="1:8">
      <c r="A162" s="182">
        <f>E140</f>
        <v>1.0343258026352942E-3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0.72906590726389953</v>
      </c>
      <c r="H165" s="204">
        <f>IF(E140/((E138)*E135)&gt;0,G165,0)</f>
        <v>0.72906590726389953</v>
      </c>
    </row>
    <row r="166" spans="1:8">
      <c r="A166" s="51" t="s">
        <v>185</v>
      </c>
      <c r="E166" s="136"/>
      <c r="F166" s="136" t="s">
        <v>17</v>
      </c>
      <c r="G166" s="194">
        <f>H157</f>
        <v>0.60755492271991629</v>
      </c>
      <c r="H166" s="205">
        <f>IF(E140/((E137)*E135)&gt;0,G166,0)</f>
        <v>0.60755492271991629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1.4581318145277991</v>
      </c>
      <c r="H168" s="189">
        <f>IF(G165/E134*E139&gt;0,G168,0)</f>
        <v>1.4581318145277991</v>
      </c>
    </row>
    <row r="169" spans="1:8">
      <c r="A169" s="51" t="s">
        <v>133</v>
      </c>
      <c r="E169" s="136"/>
      <c r="F169" s="136" t="s">
        <v>17</v>
      </c>
      <c r="G169" s="193">
        <f>G166/E134*E139</f>
        <v>1.2151098454398326</v>
      </c>
      <c r="H169" s="189">
        <f>IF(G166/E134*E139&gt;0,G169,0)</f>
        <v>1.2151098454398326</v>
      </c>
    </row>
  </sheetData>
  <mergeCells count="1">
    <mergeCell ref="A131:J1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workbookViewId="0">
      <selection activeCell="E111" sqref="E111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>
        <v>42183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3.6552439185626735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8</v>
      </c>
      <c r="F6" s="137">
        <v>5</v>
      </c>
      <c r="G6" s="103">
        <f>F120</f>
        <v>3.6552439185626735</v>
      </c>
      <c r="H6" s="137"/>
      <c r="I6" s="137">
        <f>I3+($E$36*1000000)*E120</f>
        <v>1848909.6812307504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2</v>
      </c>
      <c r="F7" s="137">
        <v>0</v>
      </c>
      <c r="G7" s="103">
        <f>F7</f>
        <v>0</v>
      </c>
      <c r="H7" s="137"/>
      <c r="I7" s="137">
        <f>I4+($E$36*1000000)*E7</f>
        <v>498102.00000000006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13</v>
      </c>
      <c r="F8" s="137">
        <v>0</v>
      </c>
      <c r="G8" s="103">
        <f>F8</f>
        <v>0</v>
      </c>
      <c r="H8" s="137"/>
      <c r="I8" s="137">
        <f>I5+($E$36*1000000)*E8</f>
        <v>3237663.0000000005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23</v>
      </c>
      <c r="F9" s="67">
        <v>5</v>
      </c>
      <c r="G9" s="105">
        <f>SUM(G6:G8)</f>
        <v>3.6552439185626735</v>
      </c>
      <c r="H9" s="67"/>
      <c r="I9" s="67">
        <f>SUM(I6:I8)</f>
        <v>5584674.6812307509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8</v>
      </c>
      <c r="F10" s="106"/>
      <c r="G10" s="106">
        <f>G6</f>
        <v>3.6552439185626735</v>
      </c>
      <c r="H10" s="68"/>
      <c r="I10" s="68">
        <f>I6</f>
        <v>1848909.6812307504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0.34782608695652173</v>
      </c>
      <c r="F11" s="192">
        <f>F6/F9</f>
        <v>1</v>
      </c>
      <c r="G11" s="107">
        <f>G6/G9</f>
        <v>1</v>
      </c>
      <c r="H11" s="69"/>
      <c r="I11" s="191">
        <f>I6/I9</f>
        <v>0.33106846625187619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13.724733000000001</v>
      </c>
      <c r="F13" s="103">
        <v>4.3199999999999998E-4</v>
      </c>
      <c r="G13" s="103">
        <f>F13+E13</f>
        <v>13.725165000000001</v>
      </c>
      <c r="H13" s="137"/>
      <c r="I13" s="103">
        <f>H13+G13</f>
        <v>13.725165000000001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2.8</v>
      </c>
      <c r="F15" s="103">
        <v>2.8</v>
      </c>
      <c r="G15" s="103">
        <v>2.8</v>
      </c>
      <c r="H15" s="103"/>
      <c r="I15" s="103">
        <v>2.8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1381.4349999999999</v>
      </c>
      <c r="F16" s="108">
        <v>1381.4349999999999</v>
      </c>
      <c r="G16" s="108">
        <v>1381.4349999999999</v>
      </c>
      <c r="H16" s="108"/>
      <c r="I16" s="108">
        <v>1381.4349999999999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2011</v>
      </c>
      <c r="F17" s="103">
        <v>2011</v>
      </c>
      <c r="G17" s="103">
        <v>2011</v>
      </c>
      <c r="H17" s="103"/>
      <c r="I17" s="103">
        <v>2011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201</v>
      </c>
      <c r="F18" s="103">
        <v>201</v>
      </c>
      <c r="G18" s="103">
        <v>201</v>
      </c>
      <c r="H18" s="103"/>
      <c r="I18" s="103">
        <v>201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105">
        <v>54</v>
      </c>
      <c r="I20" s="105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105">
        <v>23</v>
      </c>
      <c r="I21" s="105">
        <v>23</v>
      </c>
      <c r="J21" s="67"/>
    </row>
    <row r="22" spans="1:10" ht="15.75" thickBot="1">
      <c r="D22" s="144"/>
    </row>
    <row r="23" spans="1:10">
      <c r="A23" s="1"/>
      <c r="B23" s="19"/>
      <c r="C23" s="19"/>
      <c r="D23" s="144" t="s">
        <v>19</v>
      </c>
      <c r="E23" s="103">
        <v>0.24704000000000001</v>
      </c>
      <c r="F23" s="103">
        <v>8.1499999999999997E-4</v>
      </c>
      <c r="G23" s="103">
        <f>F23+E23</f>
        <v>0.24785500000000002</v>
      </c>
      <c r="H23" s="137"/>
      <c r="I23" s="103">
        <f>H23+G23</f>
        <v>0.24785500000000002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0.24905100000000002</v>
      </c>
      <c r="F36" s="109"/>
      <c r="G36" s="208">
        <f>SUM(G23:G34)+G17/1000000</f>
        <v>0.24986600000000003</v>
      </c>
      <c r="H36" s="75"/>
      <c r="I36" s="222">
        <f>SUM(I23:I34)+I17/1000000</f>
        <v>0.24986600000000003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1.1879999999999999</v>
      </c>
      <c r="F38" s="110"/>
      <c r="G38" s="110">
        <v>1.1879999999999999</v>
      </c>
      <c r="H38" s="110"/>
      <c r="I38" s="110">
        <v>1.1879999999999999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8</v>
      </c>
      <c r="F40" s="111"/>
      <c r="G40" s="111">
        <f>G10</f>
        <v>3.6552439185626735</v>
      </c>
      <c r="H40" s="72"/>
      <c r="I40" s="72">
        <f>I10</f>
        <v>1848909.6812307504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0.34782608695652173</v>
      </c>
      <c r="F41" s="112"/>
      <c r="G41" s="112">
        <f>G11</f>
        <v>1</v>
      </c>
      <c r="H41" s="74"/>
      <c r="I41" s="74">
        <f>I11</f>
        <v>0.33106846625187619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13.724733000000001</v>
      </c>
      <c r="F42" s="112"/>
      <c r="G42" s="112">
        <f>G13</f>
        <v>13.725165000000001</v>
      </c>
      <c r="H42" s="74"/>
      <c r="I42" s="74">
        <f>I13</f>
        <v>13.725165000000001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1.0854000000000001E-2</v>
      </c>
      <c r="F43" s="111"/>
      <c r="G43" s="111">
        <f>G18*G20/1000000</f>
        <v>1.0854000000000001E-2</v>
      </c>
      <c r="H43" s="72"/>
      <c r="I43" s="220">
        <f>I18*I20/1000000</f>
        <v>1.0854000000000001E-2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(E36*E16/E15)*E120/(E120+E7+E8)</f>
        <v>40.679720106327238</v>
      </c>
      <c r="F44" s="112"/>
      <c r="G44" s="112">
        <f>(G36*G16/G15)*G6/G9</f>
        <v>123.27629918214288</v>
      </c>
      <c r="H44" s="87"/>
      <c r="I44" s="221">
        <f>(I36*I16/I15)*I6/I9</f>
        <v>40.812895295439468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14.912733000000001</v>
      </c>
      <c r="F45" s="112"/>
      <c r="G45" s="112">
        <f>G38+G13</f>
        <v>14.913165000000001</v>
      </c>
      <c r="H45" s="74"/>
      <c r="I45" s="221">
        <f>I38+I13</f>
        <v>14.913165000000001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3">
        <f>(E43+E38+E13+(E36*E16/E15)*E120/(E120+E7+E8))/(E13*POWER(10,E14))</f>
        <v>4.0513215890121312</v>
      </c>
      <c r="F47" s="114"/>
      <c r="G47" s="114">
        <f>(G43+G38+G13+(G36*G16/G15)*G6/G9)/(G13*POWER(10,G14))</f>
        <v>10.069118890894419</v>
      </c>
      <c r="H47" s="73"/>
      <c r="I47" s="219">
        <f>(I43+I38+I13+(I36*I16/I15)*I6/I9)/(I13*POWER(10,I14))</f>
        <v>4.0609285422389796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55.603307106327236</v>
      </c>
      <c r="F48" s="114"/>
      <c r="G48" s="114">
        <f>G13*G47</f>
        <v>138.20031818214289</v>
      </c>
      <c r="H48" s="73"/>
      <c r="I48" s="73">
        <f>I13*I47</f>
        <v>55.736914295439469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41.878574106327235</v>
      </c>
      <c r="F49" s="114"/>
      <c r="G49" s="114">
        <f>G48-G13</f>
        <v>124.47515318214289</v>
      </c>
      <c r="H49" s="87"/>
      <c r="I49" s="219">
        <f>I48-I13</f>
        <v>42.011749295439472</v>
      </c>
      <c r="J49" s="87">
        <f>I49-E49</f>
        <v>0.13317518911223658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3.0315269344071374E-2</v>
      </c>
      <c r="F50" s="115"/>
      <c r="G50" s="115">
        <f>G49/G16</f>
        <v>9.0105689505581441E-2</v>
      </c>
      <c r="H50" s="76"/>
      <c r="I50" s="76">
        <f>I49/I16</f>
        <v>3.0411672858614031E-2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1.9520421652698597E-4</v>
      </c>
      <c r="F52" s="117"/>
      <c r="G52" s="117">
        <f>G43/(G43+G44+G45)</f>
        <v>7.8538169396215384E-5</v>
      </c>
      <c r="H52" s="79"/>
      <c r="I52" s="79">
        <f>I43/(I43+I44+I45)</f>
        <v>1.9473629168753788E-4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0.73160612602659725</v>
      </c>
      <c r="F53" s="117"/>
      <c r="G53" s="117">
        <f>G44/(G43+G44+G45)</f>
        <v>0.89201168856694901</v>
      </c>
      <c r="H53" s="79"/>
      <c r="I53" s="79">
        <f>I44/(I43+I44+I45)</f>
        <v>0.73224174340018822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0.26819866975687573</v>
      </c>
      <c r="F54" s="117"/>
      <c r="G54" s="117">
        <f>G45/(G43+G44+G45)</f>
        <v>0.1079097732636549</v>
      </c>
      <c r="H54" s="79"/>
      <c r="I54" s="79">
        <f>I45/(I43+I44+I45)</f>
        <v>0.2675635203081243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0.69104699999999997</v>
      </c>
      <c r="F60" s="119"/>
      <c r="G60" s="119">
        <v>0.69104699999999997</v>
      </c>
      <c r="H60" s="119"/>
      <c r="I60" s="119">
        <v>0.69104699999999997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0.24774399999999999</v>
      </c>
      <c r="F61" s="119"/>
      <c r="G61" s="119">
        <v>0.24774399999999999</v>
      </c>
      <c r="H61" s="119"/>
      <c r="I61" s="119">
        <v>0.24774399999999999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82.341009999999997</v>
      </c>
      <c r="F62" s="120"/>
      <c r="G62" s="120">
        <v>82.341009999999997</v>
      </c>
      <c r="H62" s="120"/>
      <c r="I62" s="120">
        <v>82.341009999999997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v>81.371308999999997</v>
      </c>
      <c r="F63" s="121"/>
      <c r="G63" s="121">
        <v>81.371308999999997</v>
      </c>
      <c r="H63" s="121"/>
      <c r="I63" s="121">
        <v>81.371308999999997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6</v>
      </c>
      <c r="F66" s="103"/>
      <c r="G66" s="103">
        <v>6</v>
      </c>
      <c r="H66" s="103"/>
      <c r="I66" s="103">
        <v>6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27</v>
      </c>
      <c r="H67" s="103"/>
      <c r="I67" s="103">
        <v>27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v>33</v>
      </c>
      <c r="F68" s="123"/>
      <c r="G68" s="123">
        <v>33</v>
      </c>
      <c r="H68" s="53"/>
      <c r="I68" s="53">
        <v>33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2011</v>
      </c>
      <c r="F69" s="123"/>
      <c r="G69" s="123">
        <f>G17</f>
        <v>2011</v>
      </c>
      <c r="H69" s="53"/>
      <c r="I69" s="53">
        <f>I17</f>
        <v>2011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0.82</v>
      </c>
      <c r="F72" s="119"/>
      <c r="G72" s="119">
        <v>0.82</v>
      </c>
      <c r="H72" s="119"/>
      <c r="I72" s="119">
        <v>0.82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0.25</v>
      </c>
      <c r="F73" s="119"/>
      <c r="G73" s="119">
        <v>0.25</v>
      </c>
      <c r="H73" s="119"/>
      <c r="I73" s="119">
        <v>0.25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84.334999999999994</v>
      </c>
      <c r="F74" s="120"/>
      <c r="G74" s="120">
        <v>84.334999999999994</v>
      </c>
      <c r="H74" s="120"/>
      <c r="I74" s="120">
        <v>84.334999999999994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v>84.081000000000003</v>
      </c>
      <c r="F75" s="121"/>
      <c r="G75" s="121">
        <v>84.081000000000003</v>
      </c>
      <c r="H75" s="121"/>
      <c r="I75" s="121">
        <v>84.081000000000003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6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27</v>
      </c>
      <c r="H79" s="122"/>
      <c r="I79" s="122">
        <v>27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v>33</v>
      </c>
      <c r="F80" s="124"/>
      <c r="G80" s="124">
        <v>33</v>
      </c>
      <c r="H80" s="124"/>
      <c r="I80" s="124">
        <v>33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2149</v>
      </c>
      <c r="F81" s="122"/>
      <c r="G81" s="122">
        <v>2149</v>
      </c>
      <c r="H81" s="122"/>
      <c r="I81" s="122">
        <v>2149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4.1138174418604651E-2</v>
      </c>
      <c r="F84" s="125"/>
      <c r="G84" s="125">
        <f>G63/(G69-G68)</f>
        <v>4.1138174418604651E-2</v>
      </c>
      <c r="H84" s="55"/>
      <c r="I84" s="55">
        <f>I63/(I69-I68)</f>
        <v>4.1138174418604651E-2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3.9735822306238185E-2</v>
      </c>
      <c r="F85" s="126"/>
      <c r="G85" s="126">
        <f>G75/(G81-G80)</f>
        <v>3.9735822306238185E-2</v>
      </c>
      <c r="H85" s="62"/>
      <c r="I85" s="62">
        <f>I75/(I81-I80)</f>
        <v>3.9735822306238185E-2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2.8448212121212121E-2</v>
      </c>
      <c r="F86" s="125"/>
      <c r="G86" s="125">
        <f>IF(G68=0,0,(G60+G61)/G68)</f>
        <v>2.8448212121212121E-2</v>
      </c>
      <c r="H86" s="55"/>
      <c r="I86" s="55">
        <f>IF(I68=0,0,(I60+I61)/I68)</f>
        <v>2.8448212121212121E-2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3.2424242424242418E-2</v>
      </c>
      <c r="F87" s="125"/>
      <c r="G87" s="125">
        <f>IF(G80=0,0,(G72+G73)/G80)</f>
        <v>3.2424242424242418E-2</v>
      </c>
      <c r="H87" s="55"/>
      <c r="I87" s="55">
        <f>IF(I80=0,0,(I72+I73)/I80)</f>
        <v>3.2424242424242418E-2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0.87737476635514033</v>
      </c>
      <c r="F90" s="126"/>
      <c r="G90" s="126">
        <f>IF(G87=0,0,G86/G87)</f>
        <v>0.87737476635514033</v>
      </c>
      <c r="H90" s="62"/>
      <c r="I90" s="62">
        <f>IF(I87=0,0,I86/I87)</f>
        <v>0.87737476635514033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1.035291886035697</v>
      </c>
      <c r="F92" s="125"/>
      <c r="G92" s="125">
        <f>IF(G85=0,0,G84/G85)</f>
        <v>1.035291886035697</v>
      </c>
      <c r="H92" s="55"/>
      <c r="I92" s="55">
        <f>IF(I85=0,0,I84/I85)</f>
        <v>1.035291886035697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-7.4125585351014725E-2</v>
      </c>
      <c r="F96" s="128"/>
      <c r="G96" s="128">
        <f>(G60+G61)*(G90-G92)/2</f>
        <v>-7.4125585351014725E-2</v>
      </c>
      <c r="H96" s="57"/>
      <c r="I96" s="57">
        <f>(I60+I61)*(I90-I92)/2</f>
        <v>-7.4125585351014725E-2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4.0567224653243343</v>
      </c>
      <c r="F99" s="129"/>
      <c r="G99" s="129">
        <f>G100/G42</f>
        <v>10.074519597213868</v>
      </c>
      <c r="H99" s="58"/>
      <c r="I99" s="58">
        <f>I100/I42</f>
        <v>4.0663292485584313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55.677432691678248</v>
      </c>
      <c r="F100" s="130"/>
      <c r="G100" s="130">
        <f>G42+G101</f>
        <v>138.27444376749389</v>
      </c>
      <c r="H100" s="59"/>
      <c r="I100" s="59">
        <f>I42+I101</f>
        <v>55.811039880790489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41.952699691678248</v>
      </c>
      <c r="F101" s="131"/>
      <c r="G101" s="131">
        <f>G49-(G95+G96)</f>
        <v>124.5492787674939</v>
      </c>
      <c r="H101" s="60"/>
      <c r="I101" s="60">
        <f>I49-(I95+I96)</f>
        <v>42.085874880790485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3.0368927739400153E-2</v>
      </c>
      <c r="F102" s="132"/>
      <c r="G102" s="132">
        <f>G101/G16</f>
        <v>9.0159347900910222E-2</v>
      </c>
      <c r="H102" s="61"/>
      <c r="I102" s="61">
        <f>I101/I16</f>
        <v>3.0465331253942809E-2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23</v>
      </c>
      <c r="F110" s="152">
        <v>5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YES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815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62.816547526364197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YES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0.17202439159708668</v>
      </c>
      <c r="F115" s="163">
        <f>SQRT((1.65*1.65)*0.5*(1-0.5)/F110)</f>
        <v>0.3689512162874653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8</v>
      </c>
      <c r="F116" s="164">
        <f>F6</f>
        <v>5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0.57619513277669343</v>
      </c>
      <c r="F117" s="200">
        <f>(F115-F108)*F6</f>
        <v>1.3447560814373265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0.32277412466188288</v>
      </c>
      <c r="F118" s="136">
        <f>F6/F9*(1-(F115-F108))</f>
        <v>0.73104878371253468</v>
      </c>
      <c r="G118" s="136"/>
    </row>
    <row r="119" spans="1:10">
      <c r="A119" s="148" t="s">
        <v>183</v>
      </c>
      <c r="E119" s="102">
        <f>E6/E9</f>
        <v>0.34782608695652173</v>
      </c>
      <c r="F119" s="102">
        <f>F6/F9</f>
        <v>1</v>
      </c>
    </row>
    <row r="120" spans="1:10">
      <c r="A120" s="148" t="s">
        <v>89</v>
      </c>
      <c r="E120" s="102">
        <f>E118*E9</f>
        <v>7.4238048672233061</v>
      </c>
      <c r="F120" s="102">
        <f>F118*F9</f>
        <v>3.6552439185626735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 t="s">
        <v>192</v>
      </c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41.878574106327235</v>
      </c>
      <c r="F125" s="218">
        <f>I49</f>
        <v>42.011749295439472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41.878574106327235</v>
      </c>
      <c r="F129" s="209">
        <f>F125-(F128/40075)*F126*F125</f>
        <v>42.011749295439472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1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4.7289999999999999E-2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4.7289999999999999E-2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3.5999999999999997E-2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0.03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2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0.13317518911223658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41.878574106327235</v>
      </c>
      <c r="D150" s="212">
        <f>F129</f>
        <v>42.011749295439472</v>
      </c>
      <c r="E150" s="136"/>
      <c r="F150" s="137">
        <f>B150+(E140/E139)</f>
        <v>41.945161700883354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1.59001580108864E-3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0.13317518911223658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78.226069119755522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0.13317518911223658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5.6322769766223972</v>
      </c>
    </row>
    <row r="161" spans="1:8">
      <c r="A161" s="51"/>
      <c r="E161" s="136"/>
      <c r="F161" s="136"/>
      <c r="G161" s="136"/>
    </row>
    <row r="162" spans="1:8">
      <c r="A162" s="182">
        <f>E140</f>
        <v>0.13317518911223658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93.871282943706618</v>
      </c>
      <c r="H165" s="204">
        <f>IF(E140/((E138)*E135)&gt;0,G165,0)</f>
        <v>93.871282943706618</v>
      </c>
    </row>
    <row r="166" spans="1:8">
      <c r="A166" s="51" t="s">
        <v>185</v>
      </c>
      <c r="E166" s="136"/>
      <c r="F166" s="136" t="s">
        <v>17</v>
      </c>
      <c r="G166" s="194">
        <f>H157</f>
        <v>78.226069119755522</v>
      </c>
      <c r="H166" s="205">
        <f>IF(E140/((E137)*E135)&gt;0,G166,0)</f>
        <v>78.226069119755522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187.74256588741324</v>
      </c>
      <c r="H168" s="189">
        <f>IF(G165/E134*E139&gt;0,G168,0)</f>
        <v>187.74256588741324</v>
      </c>
    </row>
    <row r="169" spans="1:8">
      <c r="A169" s="51" t="s">
        <v>133</v>
      </c>
      <c r="E169" s="136"/>
      <c r="F169" s="136" t="s">
        <v>17</v>
      </c>
      <c r="G169" s="193">
        <f>G166/E134*E139</f>
        <v>156.45213823951104</v>
      </c>
      <c r="H169" s="189">
        <f>IF(G166/E134*E139&gt;0,G169,0)</f>
        <v>156.45213823951104</v>
      </c>
    </row>
  </sheetData>
  <mergeCells count="1">
    <mergeCell ref="A131:J1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0B8A-FBBC-4E7F-A161-9C6712581867}">
  <dimension ref="A1:K169"/>
  <sheetViews>
    <sheetView tabSelected="1" workbookViewId="0">
      <selection activeCell="I7" sqref="I7"/>
    </sheetView>
  </sheetViews>
  <sheetFormatPr defaultRowHeight="15"/>
  <cols>
    <col min="1" max="1" width="9.140625" style="136"/>
    <col min="2" max="2" width="12.5703125" style="136" bestFit="1" customWidth="1"/>
    <col min="3" max="3" width="22.42578125" style="136" customWidth="1"/>
    <col min="4" max="4" width="13.7109375" style="136" bestFit="1" customWidth="1"/>
    <col min="5" max="6" width="21.7109375" style="102" customWidth="1"/>
    <col min="7" max="7" width="28.28515625" style="102" hidden="1" customWidth="1"/>
    <col min="8" max="8" width="15.140625" style="136" hidden="1" customWidth="1"/>
    <col min="9" max="9" width="20.5703125" style="136" customWidth="1"/>
    <col min="10" max="10" width="17.28515625" style="136" customWidth="1"/>
    <col min="11" max="11" width="18.7109375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 ht="15.75" thickBot="1">
      <c r="A2" s="1" t="s">
        <v>0</v>
      </c>
      <c r="B2" s="19" t="s">
        <v>34</v>
      </c>
      <c r="C2" s="19"/>
      <c r="D2" s="144"/>
      <c r="E2" s="104">
        <v>42183</v>
      </c>
      <c r="F2" s="104"/>
      <c r="G2" s="104" t="s">
        <v>72</v>
      </c>
      <c r="H2" s="63"/>
      <c r="I2" s="63" t="s">
        <v>72</v>
      </c>
      <c r="J2" s="63"/>
    </row>
    <row r="3" spans="1:10" ht="30.75" thickBot="1">
      <c r="A3" s="65"/>
      <c r="B3" s="149" t="s">
        <v>73</v>
      </c>
      <c r="C3" s="149"/>
      <c r="D3" s="265">
        <f>E120/E9</f>
        <v>0.12460937499999999</v>
      </c>
      <c r="E3" s="245" t="s">
        <v>344</v>
      </c>
      <c r="F3" s="247" t="s">
        <v>344</v>
      </c>
      <c r="G3" s="104"/>
      <c r="H3" s="63"/>
      <c r="I3" s="110">
        <f>F120*$F$23*1000000</f>
        <v>75.520088373249777</v>
      </c>
      <c r="J3" s="63"/>
    </row>
    <row r="4" spans="1:10" ht="30.75" thickBot="1">
      <c r="A4" s="65"/>
      <c r="B4" s="149" t="s">
        <v>74</v>
      </c>
      <c r="C4" s="149"/>
      <c r="D4" s="65"/>
      <c r="E4" s="248" t="str">
        <f>IF(E11&lt;0.85,"OK","UNLIKELY, ARE YOU SURE?")</f>
        <v>OK</v>
      </c>
      <c r="F4" s="246" t="str">
        <f>IF(F11&lt;0.85,"OK","UNLIKELY, ARE YOU SURE?")</f>
        <v>UNLIKELY, ARE YOU SURE?</v>
      </c>
      <c r="G4" s="243"/>
      <c r="H4" s="63"/>
      <c r="I4" s="103">
        <f>F7*$F$23*1000000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103">
        <f>F8*$F$23*1000000</f>
        <v>10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8</v>
      </c>
      <c r="F6" s="137">
        <v>9</v>
      </c>
      <c r="G6" s="103">
        <f>F120</f>
        <v>7.5520088373249781</v>
      </c>
      <c r="H6" s="137"/>
      <c r="I6" s="249">
        <f>I3+($E$36+E15)*1000000*E120</f>
        <v>23620645.845088378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53</v>
      </c>
      <c r="F7" s="137">
        <v>0</v>
      </c>
      <c r="G7" s="103">
        <v>0</v>
      </c>
      <c r="H7" s="137"/>
      <c r="I7" s="137">
        <f>I4+(($E$36+E15)*1000000)*E7</f>
        <v>156976831.00000003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3</v>
      </c>
      <c r="F8" s="137">
        <v>1</v>
      </c>
      <c r="G8" s="103">
        <f>F8</f>
        <v>1</v>
      </c>
      <c r="H8" s="137"/>
      <c r="I8" s="137">
        <f>I5+(($E$36+E15)*1000000)*E8</f>
        <v>8885491.0000000019</v>
      </c>
      <c r="J8" s="137"/>
    </row>
    <row r="9" spans="1:10">
      <c r="A9" s="65"/>
      <c r="B9" s="149" t="s">
        <v>8</v>
      </c>
      <c r="C9" s="149"/>
      <c r="D9" s="144" t="s">
        <v>15</v>
      </c>
      <c r="E9" s="109">
        <f>SUM(E6:E8)</f>
        <v>64</v>
      </c>
      <c r="F9" s="67">
        <f>SUM(F6:F8)</f>
        <v>10</v>
      </c>
      <c r="G9" s="105">
        <f>SUM(G6:G8)</f>
        <v>8.5520088373249781</v>
      </c>
      <c r="H9" s="67"/>
      <c r="I9" s="67">
        <f>SUM(I6:I8)</f>
        <v>189482967.84508842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8</v>
      </c>
      <c r="F10" s="106">
        <f>F6</f>
        <v>9</v>
      </c>
      <c r="G10" s="106">
        <f>G6</f>
        <v>7.5520088373249781</v>
      </c>
      <c r="H10" s="68"/>
      <c r="I10" s="68">
        <f>I6</f>
        <v>23620645.845088378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250">
        <f>E6/E9</f>
        <v>0.125</v>
      </c>
      <c r="F11" s="250">
        <f>F6/F9</f>
        <v>0.9</v>
      </c>
      <c r="G11" s="107">
        <f>G6/G9</f>
        <v>0.88306840895258076</v>
      </c>
      <c r="H11" s="69"/>
      <c r="I11" s="233">
        <f>I6/I9</f>
        <v>0.12465841185472358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12.694000000000001</v>
      </c>
      <c r="F13" s="103">
        <v>2.1514999999999999E-2</v>
      </c>
      <c r="G13" s="103">
        <f>F13+E13</f>
        <v>12.715515000000002</v>
      </c>
      <c r="H13" s="137"/>
      <c r="I13" s="103">
        <f>H13+G13</f>
        <v>12.715515000000002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2.7</v>
      </c>
      <c r="F15" s="103"/>
      <c r="G15" s="103">
        <v>2.7</v>
      </c>
      <c r="H15" s="103"/>
      <c r="I15" s="103">
        <v>2.7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1277.2370000000001</v>
      </c>
      <c r="F16" s="108"/>
      <c r="G16" s="108">
        <v>1277.2370000000001</v>
      </c>
      <c r="H16" s="108"/>
      <c r="I16" s="108">
        <v>1277.2370000000001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2149</v>
      </c>
      <c r="F17" s="103"/>
      <c r="G17" s="103">
        <v>2149</v>
      </c>
      <c r="H17" s="103"/>
      <c r="I17" s="103">
        <v>2149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1338</v>
      </c>
      <c r="F18" s="103"/>
      <c r="G18" s="103">
        <v>1338</v>
      </c>
      <c r="H18" s="103"/>
      <c r="I18" s="103">
        <v>1338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244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105">
        <v>54</v>
      </c>
      <c r="I20" s="105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105">
        <v>23</v>
      </c>
      <c r="I21" s="105">
        <v>23</v>
      </c>
      <c r="J21" s="67"/>
    </row>
    <row r="22" spans="1:10" ht="15.75" thickBot="1">
      <c r="D22" s="144"/>
      <c r="F22" s="118"/>
    </row>
    <row r="23" spans="1:10">
      <c r="A23" s="1" t="s">
        <v>340</v>
      </c>
      <c r="B23" s="19"/>
      <c r="C23" s="19"/>
      <c r="D23" s="144" t="s">
        <v>19</v>
      </c>
      <c r="E23" s="103">
        <v>0.25967800000000002</v>
      </c>
      <c r="F23" s="238">
        <v>1.0000000000000001E-5</v>
      </c>
      <c r="G23" s="103">
        <f>F23+E23</f>
        <v>0.25968800000000003</v>
      </c>
      <c r="H23" s="137"/>
      <c r="I23" s="103">
        <f>H23+G23</f>
        <v>0.25968800000000003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30">
        <f>SUM(E23:E34)+E17/1000000</f>
        <v>0.26182700000000003</v>
      </c>
      <c r="F36" s="109"/>
      <c r="G36" s="208">
        <f>SUM(G23:G34)+G17/1000000</f>
        <v>0.26183700000000004</v>
      </c>
      <c r="H36" s="75"/>
      <c r="I36" s="236">
        <f>SUM(I23:I34)+I17/1000000</f>
        <v>0.26183700000000004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1.143</v>
      </c>
      <c r="F38" s="110"/>
      <c r="G38" s="110">
        <v>1.143</v>
      </c>
      <c r="H38" s="110"/>
      <c r="I38" s="110">
        <v>1.143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8</v>
      </c>
      <c r="F40" s="111"/>
      <c r="G40" s="111">
        <f>G10</f>
        <v>7.5520088373249781</v>
      </c>
      <c r="H40" s="72"/>
      <c r="I40" s="255">
        <f>I10</f>
        <v>23620645.845088378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0.125</v>
      </c>
      <c r="F41" s="112"/>
      <c r="G41" s="112">
        <f>G11</f>
        <v>0.88306840895258076</v>
      </c>
      <c r="H41" s="74"/>
      <c r="I41" s="74">
        <f>I11</f>
        <v>0.12465841185472358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12.694000000000001</v>
      </c>
      <c r="F42" s="112"/>
      <c r="G42" s="112">
        <f>G13</f>
        <v>12.715515000000002</v>
      </c>
      <c r="H42" s="74"/>
      <c r="I42" s="74">
        <f>I13</f>
        <v>12.715515000000002</v>
      </c>
      <c r="J42" s="74"/>
    </row>
    <row r="43" spans="1:10">
      <c r="A43" s="65" t="s">
        <v>32</v>
      </c>
      <c r="B43" s="149"/>
      <c r="C43" s="149"/>
      <c r="D43" s="144" t="s">
        <v>18</v>
      </c>
      <c r="E43" s="223">
        <f>E18*E20/1000000</f>
        <v>7.2251999999999997E-2</v>
      </c>
      <c r="F43" s="223"/>
      <c r="G43" s="223">
        <f>G18*G20/1000000</f>
        <v>7.2251999999999997E-2</v>
      </c>
      <c r="H43" s="252"/>
      <c r="I43" s="252">
        <f>I18*I20/1000000</f>
        <v>7.2251999999999997E-2</v>
      </c>
      <c r="J43" s="72"/>
    </row>
    <row r="44" spans="1:10">
      <c r="A44" s="65" t="s">
        <v>6</v>
      </c>
      <c r="B44" s="149"/>
      <c r="C44" s="149"/>
      <c r="D44" s="144" t="s">
        <v>18</v>
      </c>
      <c r="E44" s="224">
        <f>(E36*E16/E15)*E120/(E120+E7+E8)</f>
        <v>15.439831402266654</v>
      </c>
      <c r="F44" s="224"/>
      <c r="G44" s="224">
        <f>(G36*G16/G15)*G6/G9</f>
        <v>109.37878422980693</v>
      </c>
      <c r="H44" s="253"/>
      <c r="I44" s="254">
        <f>(I36*I16/I15)*I6/I9</f>
        <v>15.440463495756639</v>
      </c>
      <c r="J44" s="264"/>
    </row>
    <row r="45" spans="1:10" ht="15.75" thickBot="1">
      <c r="A45" s="2" t="s">
        <v>30</v>
      </c>
      <c r="B45" s="138"/>
      <c r="C45" s="138"/>
      <c r="D45" s="144" t="s">
        <v>18</v>
      </c>
      <c r="E45" s="224">
        <f>E38+E13</f>
        <v>13.837000000000002</v>
      </c>
      <c r="F45" s="224"/>
      <c r="G45" s="224">
        <f>G38+G13</f>
        <v>13.858515000000002</v>
      </c>
      <c r="H45" s="254"/>
      <c r="I45" s="254">
        <f>I38+I13</f>
        <v>13.858515000000002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56">
        <f>(E43+E38+E13+(E36*E16/E15)*E120/(E120+E7+E8))/(E13*POWER(10,E14))</f>
        <v>2.3120437531327123</v>
      </c>
      <c r="F47" s="114"/>
      <c r="G47" s="114">
        <f>(G43+G38+G13+(G36*G16/G15)*G6/G9)/(G13*POWER(10,G14))</f>
        <v>9.6975664162880477</v>
      </c>
      <c r="H47" s="73"/>
      <c r="I47" s="251">
        <f>(I43+I38+I13+(I36*I16/I15)*I6/I9)/(I13*POWER(10,I14))</f>
        <v>2.3098734495422826</v>
      </c>
      <c r="J47" s="73"/>
    </row>
    <row r="48" spans="1:10">
      <c r="A48" s="65" t="s">
        <v>24</v>
      </c>
      <c r="B48" s="149"/>
      <c r="C48" s="149"/>
      <c r="D48" s="144" t="s">
        <v>18</v>
      </c>
      <c r="E48" s="225">
        <f>E13*E47</f>
        <v>29.34908340226665</v>
      </c>
      <c r="F48" s="114"/>
      <c r="G48" s="114">
        <f>G13*G47</f>
        <v>123.30955122980693</v>
      </c>
      <c r="H48" s="73"/>
      <c r="I48" s="73">
        <f>I13*I47</f>
        <v>29.371230495756642</v>
      </c>
      <c r="J48" s="263" t="s">
        <v>345</v>
      </c>
    </row>
    <row r="49" spans="1:11">
      <c r="A49" s="65" t="s">
        <v>25</v>
      </c>
      <c r="B49" s="149"/>
      <c r="C49" s="149"/>
      <c r="D49" s="144" t="s">
        <v>18</v>
      </c>
      <c r="E49" s="225">
        <f>E48-E13</f>
        <v>16.655083402266648</v>
      </c>
      <c r="F49" s="225"/>
      <c r="G49" s="225">
        <f>G48-G13</f>
        <v>110.59403622980693</v>
      </c>
      <c r="H49" s="253"/>
      <c r="I49" s="253">
        <f>I48-I13</f>
        <v>16.655715495756638</v>
      </c>
      <c r="J49" s="239">
        <f>I49-E49</f>
        <v>6.3209348999038184E-4</v>
      </c>
      <c r="K49" s="241"/>
    </row>
    <row r="50" spans="1:11" ht="15.75" thickBot="1">
      <c r="A50" s="2" t="s">
        <v>14</v>
      </c>
      <c r="B50" s="138"/>
      <c r="C50" s="138"/>
      <c r="D50" s="144" t="s">
        <v>17</v>
      </c>
      <c r="E50" s="115">
        <f>E49/E16</f>
        <v>1.3039931823355139E-2</v>
      </c>
      <c r="F50" s="115"/>
      <c r="G50" s="115">
        <f>G49/G16</f>
        <v>8.658850019989002E-2</v>
      </c>
      <c r="H50" s="76"/>
      <c r="I50" s="76">
        <f>I49/I16</f>
        <v>1.3040426714663478E-2</v>
      </c>
      <c r="J50" s="76"/>
    </row>
    <row r="51" spans="1:11" ht="15.75" thickBot="1">
      <c r="D51" s="144"/>
      <c r="E51" s="116"/>
      <c r="F51" s="116"/>
      <c r="G51" s="116"/>
      <c r="H51" s="88"/>
      <c r="I51" s="77"/>
      <c r="J51" s="88"/>
    </row>
    <row r="52" spans="1:11">
      <c r="A52" s="1" t="s">
        <v>36</v>
      </c>
      <c r="B52" s="19"/>
      <c r="C52" s="20"/>
      <c r="D52" s="8" t="s">
        <v>17</v>
      </c>
      <c r="E52" s="117">
        <f>E43/(E43+E44+E45)</f>
        <v>2.4618145312987833E-3</v>
      </c>
      <c r="F52" s="117"/>
      <c r="G52" s="117">
        <f>G43/(G43+G44+G45)</f>
        <v>5.8594001258951078E-4</v>
      </c>
      <c r="H52" s="79"/>
      <c r="I52" s="79">
        <f>I43/(I43+I44+I45)</f>
        <v>2.4599582237604407E-3</v>
      </c>
      <c r="J52" s="79"/>
    </row>
    <row r="53" spans="1:11">
      <c r="A53" s="65" t="s">
        <v>6</v>
      </c>
      <c r="B53" s="149"/>
      <c r="C53" s="150"/>
      <c r="D53" s="8" t="s">
        <v>17</v>
      </c>
      <c r="E53" s="117">
        <f>E44/(E43+E44+E45)</f>
        <v>0.52607542084514369</v>
      </c>
      <c r="F53" s="117"/>
      <c r="G53" s="117">
        <f>G44/(G43+G44+G45)</f>
        <v>0.8870260506095119</v>
      </c>
      <c r="H53" s="79"/>
      <c r="I53" s="79">
        <f>I44/(I43+I44+I45)</f>
        <v>0.52570025957841204</v>
      </c>
      <c r="J53" s="79"/>
    </row>
    <row r="54" spans="1:11" ht="15.75" thickBot="1">
      <c r="A54" s="2" t="s">
        <v>37</v>
      </c>
      <c r="B54" s="138"/>
      <c r="C54" s="139"/>
      <c r="D54" s="8" t="s">
        <v>17</v>
      </c>
      <c r="E54" s="117">
        <f>E45/(E43+E44+E45)</f>
        <v>0.47146276462355746</v>
      </c>
      <c r="F54" s="117"/>
      <c r="G54" s="117">
        <f>G45/(G43+G44+G45)</f>
        <v>0.11238800937789854</v>
      </c>
      <c r="H54" s="79"/>
      <c r="I54" s="79">
        <f>I45/(I43+I44+I45)</f>
        <v>0.47183978219782746</v>
      </c>
      <c r="J54" s="79"/>
      <c r="K54" s="240"/>
    </row>
    <row r="55" spans="1:11" ht="15.75" thickBot="1">
      <c r="D55" s="146"/>
    </row>
    <row r="56" spans="1:11">
      <c r="D56" s="149"/>
    </row>
    <row r="57" spans="1:11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1" ht="15.75" thickBot="1"/>
    <row r="59" spans="1:11" ht="15.75" thickBot="1">
      <c r="A59" s="143" t="s">
        <v>45</v>
      </c>
      <c r="B59" s="141"/>
      <c r="C59" s="142"/>
    </row>
    <row r="60" spans="1:11">
      <c r="A60" s="140" t="s">
        <v>38</v>
      </c>
      <c r="B60" s="149"/>
      <c r="C60" s="150"/>
      <c r="D60" s="20" t="s">
        <v>18</v>
      </c>
      <c r="E60" s="119">
        <v>0.82</v>
      </c>
      <c r="F60" s="119"/>
      <c r="G60" s="119">
        <v>0.82</v>
      </c>
      <c r="H60" s="119"/>
      <c r="I60" s="119">
        <v>0.82</v>
      </c>
      <c r="J60" s="86"/>
    </row>
    <row r="61" spans="1:11">
      <c r="A61" s="140" t="s">
        <v>39</v>
      </c>
      <c r="B61" s="149"/>
      <c r="C61" s="150"/>
      <c r="D61" s="150" t="s">
        <v>18</v>
      </c>
      <c r="E61" s="119">
        <v>0.25</v>
      </c>
      <c r="F61" s="119"/>
      <c r="G61" s="119">
        <v>0.25</v>
      </c>
      <c r="H61" s="119"/>
      <c r="I61" s="119">
        <v>0.25</v>
      </c>
      <c r="J61" s="86"/>
    </row>
    <row r="62" spans="1:11">
      <c r="A62" s="140" t="s">
        <v>40</v>
      </c>
      <c r="B62" s="149"/>
      <c r="C62" s="150"/>
      <c r="D62" s="150" t="s">
        <v>18</v>
      </c>
      <c r="E62" s="120">
        <v>84.334999999999994</v>
      </c>
      <c r="F62" s="120"/>
      <c r="G62" s="120">
        <v>84.334999999999994</v>
      </c>
      <c r="H62" s="120"/>
      <c r="I62" s="120">
        <v>84.334999999999994</v>
      </c>
      <c r="J62" s="54"/>
    </row>
    <row r="63" spans="1:11">
      <c r="A63" s="140" t="s">
        <v>41</v>
      </c>
      <c r="B63" s="149"/>
      <c r="C63" s="150"/>
      <c r="D63" s="150" t="s">
        <v>18</v>
      </c>
      <c r="E63" s="121">
        <f>E62-E60-E61</f>
        <v>83.265000000000001</v>
      </c>
      <c r="F63" s="121"/>
      <c r="G63" s="121">
        <f>G62-G60-G61</f>
        <v>83.265000000000001</v>
      </c>
      <c r="H63" s="121"/>
      <c r="I63" s="121">
        <f>I62-I60-I61</f>
        <v>83.265000000000001</v>
      </c>
      <c r="J63" s="52"/>
    </row>
    <row r="64" spans="1:11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6</v>
      </c>
      <c r="F66" s="103"/>
      <c r="G66" s="103">
        <v>6</v>
      </c>
      <c r="H66" s="103"/>
      <c r="I66" s="103">
        <v>6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27</v>
      </c>
      <c r="H67" s="103"/>
      <c r="I67" s="103">
        <v>27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f>SUM(E66:E67)</f>
        <v>33</v>
      </c>
      <c r="F68" s="123"/>
      <c r="G68" s="123">
        <f>SUM(G66:G67)</f>
        <v>33</v>
      </c>
      <c r="H68" s="53"/>
      <c r="I68" s="53">
        <f>SUM(I66:I67)</f>
        <v>33</v>
      </c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2149</v>
      </c>
      <c r="F69" s="123">
        <f t="shared" ref="F69:H69" si="0">F17</f>
        <v>0</v>
      </c>
      <c r="G69" s="123">
        <v>2149</v>
      </c>
      <c r="H69" s="123">
        <f t="shared" si="0"/>
        <v>0</v>
      </c>
      <c r="I69" s="123">
        <v>2149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1.143</v>
      </c>
      <c r="F72" s="119"/>
      <c r="G72" s="119">
        <v>1.143</v>
      </c>
      <c r="H72" s="119"/>
      <c r="I72" s="119">
        <v>1.143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0.224</v>
      </c>
      <c r="F73" s="119"/>
      <c r="G73" s="119">
        <v>0.224</v>
      </c>
      <c r="H73" s="119"/>
      <c r="I73" s="119">
        <v>0.224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87.09</v>
      </c>
      <c r="F74" s="120"/>
      <c r="G74" s="120">
        <v>87.09</v>
      </c>
      <c r="H74" s="120"/>
      <c r="I74" s="120">
        <v>87.09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f>E74-E72-E73</f>
        <v>85.722999999999999</v>
      </c>
      <c r="F75" s="121"/>
      <c r="G75" s="121">
        <f>G74-G72-G73</f>
        <v>85.722999999999999</v>
      </c>
      <c r="H75" s="121"/>
      <c r="I75" s="121">
        <f>I74-I72-I73</f>
        <v>85.722999999999999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8</v>
      </c>
      <c r="F78" s="122"/>
      <c r="G78" s="122">
        <v>8</v>
      </c>
      <c r="H78" s="54"/>
      <c r="I78" s="54">
        <v>8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27</v>
      </c>
      <c r="H79" s="122"/>
      <c r="I79" s="122">
        <v>27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f>SUM(E78:E79)</f>
        <v>35</v>
      </c>
      <c r="F80" s="124"/>
      <c r="G80" s="124">
        <f>SUM(G78:G79)</f>
        <v>35</v>
      </c>
      <c r="H80" s="124"/>
      <c r="I80" s="124">
        <f>SUM(I78:I79)</f>
        <v>35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2286</v>
      </c>
      <c r="F81" s="122"/>
      <c r="G81" s="122">
        <v>2286</v>
      </c>
      <c r="H81" s="122"/>
      <c r="I81" s="122">
        <v>2286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3.9350189035916826E-2</v>
      </c>
      <c r="F84" s="125"/>
      <c r="G84" s="125">
        <f>G63/(G69-G68)</f>
        <v>3.9350189035916826E-2</v>
      </c>
      <c r="H84" s="55"/>
      <c r="I84" s="55">
        <f>I63/(I69-I68)</f>
        <v>3.9350189035916826E-2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3.8082185695246559E-2</v>
      </c>
      <c r="F85" s="126"/>
      <c r="G85" s="126">
        <f>G75/(G81-G80)</f>
        <v>3.8082185695246559E-2</v>
      </c>
      <c r="H85" s="62"/>
      <c r="I85" s="62">
        <f>I75/(I81-I80)</f>
        <v>3.8082185695246559E-2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3.2424242424242418E-2</v>
      </c>
      <c r="F86" s="125"/>
      <c r="G86" s="125">
        <f>IF(G68=0,0,(G60+G61)/G68)</f>
        <v>3.2424242424242418E-2</v>
      </c>
      <c r="H86" s="55"/>
      <c r="I86" s="55">
        <f>IF(I68=0,0,(I60+I61)/I68)</f>
        <v>3.2424242424242418E-2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3.905714285714286E-2</v>
      </c>
      <c r="F87" s="125"/>
      <c r="G87" s="125">
        <f>IF(G80=0,0,(G72+G73)/G80)</f>
        <v>3.905714285714286E-2</v>
      </c>
      <c r="H87" s="55"/>
      <c r="I87" s="55">
        <f>IF(I80=0,0,(I72+I73)/I80)</f>
        <v>3.905714285714286E-2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0.83017445855777949</v>
      </c>
      <c r="F90" s="126"/>
      <c r="G90" s="126">
        <f>IF(G87=0,0,G86/G87)</f>
        <v>0.83017445855777949</v>
      </c>
      <c r="H90" s="62"/>
      <c r="I90" s="62">
        <f>IF(I87=0,0,I86/I87)</f>
        <v>0.83017445855777949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1.0332964959211504</v>
      </c>
      <c r="F92" s="125"/>
      <c r="G92" s="125">
        <f>IF(G85=0,0,G84/G85)</f>
        <v>1.0332964959211504</v>
      </c>
      <c r="H92" s="55"/>
      <c r="I92" s="55">
        <f>IF(I85=0,0,I84/I85)</f>
        <v>1.0332964959211504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-0.1086702899894034</v>
      </c>
      <c r="F96" s="128"/>
      <c r="G96" s="128">
        <f>(G60+G61)*(G90-G92)/2</f>
        <v>-0.1086702899894034</v>
      </c>
      <c r="H96" s="57"/>
      <c r="I96" s="57">
        <f>(I60+I61)*(I90-I92)/2</f>
        <v>-0.1086702899894034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2.3206045133335476</v>
      </c>
      <c r="F99" s="129"/>
      <c r="G99" s="129">
        <f>G100/G42</f>
        <v>9.7061126914479132</v>
      </c>
      <c r="H99" s="58"/>
      <c r="I99" s="58">
        <f>I100/I42</f>
        <v>2.3184197247021485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29.457753692256055</v>
      </c>
      <c r="F100" s="130"/>
      <c r="G100" s="130">
        <f>G42+G101</f>
        <v>123.41822151979633</v>
      </c>
      <c r="H100" s="59"/>
      <c r="I100" s="59">
        <f>I42+I101</f>
        <v>29.479900785746047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16.763753692256053</v>
      </c>
      <c r="F101" s="131"/>
      <c r="G101" s="131">
        <f>G49-(G95+G96)</f>
        <v>110.70270651979634</v>
      </c>
      <c r="H101" s="60"/>
      <c r="I101" s="60">
        <f>I49-(I95+I96)</f>
        <v>16.764385785746043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1.3125014145578347E-2</v>
      </c>
      <c r="F102" s="132"/>
      <c r="G102" s="132">
        <f>G101/G16</f>
        <v>8.6673582522113227E-2</v>
      </c>
      <c r="H102" s="61"/>
      <c r="I102" s="61">
        <f>I101/I16</f>
        <v>1.3125509036886687E-2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64</v>
      </c>
      <c r="F110" s="152">
        <f>F9</f>
        <v>10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YES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2700000</v>
      </c>
      <c r="F112" s="152">
        <v>12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68.060784301062384</v>
      </c>
      <c r="F113" s="172">
        <f>F109/(1+(1.65*1.65*0.5*(1-0.5))/(F108*F108*F112))</f>
        <v>10.201405152224824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YES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0.10312499999999999</v>
      </c>
      <c r="F115" s="163">
        <f>SQRT((1.65*1.65)*0.5*(1-0.5)/F110)</f>
        <v>0.2608879069638913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8</v>
      </c>
      <c r="F116" s="164">
        <f>F6</f>
        <v>9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2.4999999999999911E-2</v>
      </c>
      <c r="F117" s="200">
        <f>(F115-F108)*F6</f>
        <v>1.4479911626750217</v>
      </c>
      <c r="G117" s="200"/>
      <c r="H117" s="201"/>
      <c r="I117" s="202"/>
      <c r="J117" s="203"/>
    </row>
    <row r="118" spans="1:10" ht="15.75" thickBot="1">
      <c r="A118" s="148" t="s">
        <v>182</v>
      </c>
      <c r="D118" s="146" t="s">
        <v>15</v>
      </c>
      <c r="E118" s="257">
        <f>E6/E9*(1-(E115-E108))</f>
        <v>0.12460937499999999</v>
      </c>
      <c r="F118" s="257">
        <f>F6/F9*(1-(F115-F108))</f>
        <v>0.75520088373249783</v>
      </c>
      <c r="G118" s="136"/>
    </row>
    <row r="119" spans="1:10">
      <c r="A119" s="148" t="s">
        <v>183</v>
      </c>
      <c r="E119" s="102">
        <f>E6/E9</f>
        <v>0.125</v>
      </c>
      <c r="F119" s="102">
        <f>F6/F9</f>
        <v>0.9</v>
      </c>
    </row>
    <row r="120" spans="1:10">
      <c r="A120" s="148" t="s">
        <v>89</v>
      </c>
      <c r="E120" s="258">
        <f>IF(OR(E110&gt;E113, E110&gt;E109),E6,E118*E9)</f>
        <v>7.9749999999999996</v>
      </c>
      <c r="F120" s="258">
        <f>IF(OR(F110&gt;F113, F110&gt;F109),F6,F118*F9)</f>
        <v>7.5520088373249781</v>
      </c>
    </row>
    <row r="121" spans="1:10">
      <c r="I121" s="242"/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 t="s">
        <v>192</v>
      </c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16.655083402266648</v>
      </c>
      <c r="F125" s="218">
        <f>I49</f>
        <v>16.655715495756638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0</v>
      </c>
      <c r="F126" s="169">
        <v>0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No</v>
      </c>
      <c r="F127" s="165" t="str">
        <f>IF(F126&gt;0,"Yes","No")</f>
        <v>No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0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59">
        <f>IF(E126&gt;0,E125-(E128/40075)*E126*E125, E49)</f>
        <v>16.655083402266648</v>
      </c>
      <c r="F129" s="259">
        <f>IF(F126&gt;0,F125-(F128/40075)*F126*F125,I49)</f>
        <v>16.655715495756638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 s="83" customFormat="1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7">
        <v>2</v>
      </c>
      <c r="F134" s="136"/>
      <c r="G134" s="136"/>
      <c r="H134" s="67" t="s">
        <v>343</v>
      </c>
      <c r="I134" s="83"/>
      <c r="J134" s="83"/>
    </row>
    <row r="135" spans="1:10">
      <c r="A135" s="136" t="s">
        <v>138</v>
      </c>
      <c r="D135" s="136" t="s">
        <v>18</v>
      </c>
      <c r="E135" s="137">
        <v>0.400482</v>
      </c>
      <c r="F135" s="136"/>
      <c r="G135" s="136"/>
      <c r="H135" s="67"/>
      <c r="I135" s="83"/>
      <c r="J135" s="83"/>
    </row>
    <row r="136" spans="1:10">
      <c r="A136" s="136" t="s">
        <v>100</v>
      </c>
      <c r="D136" s="136" t="s">
        <v>18</v>
      </c>
      <c r="E136" s="137">
        <v>0.331482</v>
      </c>
      <c r="F136" s="136"/>
      <c r="G136" s="136"/>
      <c r="I136" s="83"/>
      <c r="J136" s="83"/>
    </row>
    <row r="137" spans="1:10" ht="15.75">
      <c r="A137" s="136" t="s">
        <v>101</v>
      </c>
      <c r="D137" s="136" t="s">
        <v>17</v>
      </c>
      <c r="E137" s="204">
        <v>0.2</v>
      </c>
      <c r="F137" s="136"/>
      <c r="G137" s="136"/>
      <c r="H137" s="147" t="s">
        <v>139</v>
      </c>
      <c r="I137" s="83"/>
      <c r="J137" s="260"/>
    </row>
    <row r="138" spans="1:10" ht="15.75">
      <c r="A138" s="136" t="s">
        <v>103</v>
      </c>
      <c r="D138" s="136" t="s">
        <v>17</v>
      </c>
      <c r="E138" s="204">
        <v>0.08</v>
      </c>
      <c r="F138" s="136"/>
      <c r="G138" s="136"/>
      <c r="H138" s="147" t="s">
        <v>141</v>
      </c>
      <c r="I138" s="83"/>
      <c r="J138" s="260"/>
    </row>
    <row r="139" spans="1:10" ht="15.75">
      <c r="A139" s="136" t="s">
        <v>104</v>
      </c>
      <c r="D139" s="136" t="s">
        <v>15</v>
      </c>
      <c r="E139" s="193">
        <v>3</v>
      </c>
      <c r="F139" s="136"/>
      <c r="G139" s="136"/>
      <c r="H139" s="147"/>
      <c r="I139" s="83"/>
      <c r="J139" s="260"/>
    </row>
    <row r="140" spans="1:10" ht="15.75">
      <c r="A140" s="136" t="s">
        <v>105</v>
      </c>
      <c r="D140" s="136" t="s">
        <v>106</v>
      </c>
      <c r="E140" s="237">
        <f>D150-B150</f>
        <v>6.3209348999038184E-4</v>
      </c>
      <c r="F140" s="136"/>
      <c r="G140" s="136"/>
      <c r="H140" s="147"/>
      <c r="I140" s="83"/>
      <c r="J140" s="260"/>
    </row>
    <row r="141" spans="1:10" ht="15.75">
      <c r="E141" s="136"/>
      <c r="F141" s="136"/>
      <c r="G141" s="136"/>
      <c r="H141" s="147"/>
      <c r="I141" s="83"/>
      <c r="J141" s="260"/>
    </row>
    <row r="142" spans="1:10" hidden="1">
      <c r="B142" s="136" t="s">
        <v>25</v>
      </c>
      <c r="D142" s="136" t="s">
        <v>18</v>
      </c>
      <c r="E142" s="136"/>
      <c r="F142" s="136"/>
      <c r="G142" s="136" t="s">
        <v>108</v>
      </c>
      <c r="I142" s="83"/>
      <c r="J142" s="83"/>
    </row>
    <row r="143" spans="1:10" ht="15.75" hidden="1">
      <c r="E143" s="136"/>
      <c r="F143" s="136"/>
      <c r="G143" s="136"/>
      <c r="I143" s="83"/>
      <c r="J143" s="260"/>
    </row>
    <row r="144" spans="1:10" ht="15.75" hidden="1">
      <c r="B144" s="136" t="s">
        <v>110</v>
      </c>
      <c r="E144" s="136"/>
      <c r="F144" s="136"/>
      <c r="G144" s="136"/>
      <c r="I144" s="83"/>
      <c r="J144" s="260"/>
    </row>
    <row r="145" spans="1:10" ht="15.75" hidden="1">
      <c r="E145" s="136"/>
      <c r="F145" s="136"/>
      <c r="G145" s="136"/>
      <c r="I145" s="83"/>
      <c r="J145" s="260"/>
    </row>
    <row r="146" spans="1:10" ht="15.75" hidden="1">
      <c r="B146" s="155" t="s">
        <v>113</v>
      </c>
      <c r="D146" s="177" t="s">
        <v>114</v>
      </c>
      <c r="E146" s="136"/>
      <c r="F146" s="178" t="s">
        <v>115</v>
      </c>
      <c r="G146" s="136"/>
      <c r="I146" s="83"/>
      <c r="J146" s="260"/>
    </row>
    <row r="147" spans="1:10" hidden="1">
      <c r="B147" s="136" t="s">
        <v>117</v>
      </c>
      <c r="D147" s="136" t="s">
        <v>118</v>
      </c>
      <c r="E147" s="136"/>
      <c r="F147" s="136" t="s">
        <v>119</v>
      </c>
      <c r="G147" s="136"/>
      <c r="I147" s="83"/>
      <c r="J147" s="83"/>
    </row>
    <row r="148" spans="1:10" ht="15.75" hidden="1">
      <c r="B148" s="136" t="s">
        <v>120</v>
      </c>
      <c r="D148" s="136" t="s">
        <v>121</v>
      </c>
      <c r="E148" s="136"/>
      <c r="F148" s="136" t="s">
        <v>122</v>
      </c>
      <c r="G148" s="136"/>
      <c r="I148" s="83"/>
      <c r="J148" s="260"/>
    </row>
    <row r="149" spans="1:10" ht="15.75" hidden="1">
      <c r="E149" s="136"/>
      <c r="F149" s="136"/>
      <c r="G149" s="136"/>
      <c r="I149" s="83"/>
      <c r="J149" s="260"/>
    </row>
    <row r="150" spans="1:10" hidden="1">
      <c r="A150" s="136" t="s">
        <v>125</v>
      </c>
      <c r="B150" s="232">
        <f>E49</f>
        <v>16.655083402266648</v>
      </c>
      <c r="D150" s="222">
        <f>F129</f>
        <v>16.655715495756638</v>
      </c>
      <c r="E150" s="136"/>
      <c r="F150" s="67">
        <f>B150+(E140/E139)</f>
        <v>16.655294100096643</v>
      </c>
      <c r="G150" s="136"/>
    </row>
    <row r="151" spans="1:10" hidden="1">
      <c r="E151" s="136"/>
      <c r="F151" s="136"/>
      <c r="G151" s="136"/>
    </row>
    <row r="152" spans="1:10" hidden="1">
      <c r="E152" s="136"/>
      <c r="F152" s="136"/>
      <c r="G152" s="136"/>
    </row>
    <row r="153" spans="1:10" hidden="1">
      <c r="B153" s="136" t="s">
        <v>126</v>
      </c>
      <c r="E153" s="136"/>
      <c r="F153" s="136" t="s">
        <v>17</v>
      </c>
      <c r="G153" s="136"/>
      <c r="I153" s="233">
        <f>F150/B150-1</f>
        <v>1.2650661957547271E-5</v>
      </c>
    </row>
    <row r="154" spans="1:10" hidden="1">
      <c r="E154" s="136"/>
      <c r="F154" s="136"/>
      <c r="G154" s="136"/>
    </row>
    <row r="155" spans="1:10" hidden="1">
      <c r="B155" s="136" t="s">
        <v>127</v>
      </c>
      <c r="E155" s="136"/>
      <c r="F155" s="136" t="s">
        <v>128</v>
      </c>
      <c r="G155" s="136"/>
      <c r="I155" s="236">
        <f>E140</f>
        <v>6.3209348999038184E-4</v>
      </c>
    </row>
    <row r="156" spans="1:10" hidden="1">
      <c r="E156" s="136"/>
      <c r="F156" s="136"/>
      <c r="G156" s="136"/>
    </row>
    <row r="157" spans="1:10" hidden="1">
      <c r="B157" s="136" t="s">
        <v>129</v>
      </c>
      <c r="E157" s="136"/>
      <c r="F157" s="136" t="s">
        <v>17</v>
      </c>
      <c r="G157" s="136"/>
      <c r="I157" s="235">
        <f>E140/(E136*(E137))</f>
        <v>9.5343561639905303E-3</v>
      </c>
    </row>
    <row r="158" spans="1:10" hidden="1">
      <c r="E158" s="136"/>
      <c r="F158" s="136"/>
      <c r="G158" s="136"/>
    </row>
    <row r="159" spans="1:10" hidden="1">
      <c r="A159" s="51" t="s">
        <v>187</v>
      </c>
      <c r="E159" s="136"/>
      <c r="F159" s="136"/>
      <c r="G159" s="136"/>
      <c r="J159" s="236">
        <f>E140</f>
        <v>6.3209348999038184E-4</v>
      </c>
    </row>
    <row r="160" spans="1:10" hidden="1">
      <c r="A160" s="51" t="s">
        <v>188</v>
      </c>
      <c r="E160" s="136"/>
      <c r="F160" s="136"/>
      <c r="G160" s="136"/>
      <c r="J160" s="236">
        <f>(E140*(E139/E134))/E135</f>
        <v>2.3674977526719622E-3</v>
      </c>
    </row>
    <row r="161" spans="1:10" hidden="1">
      <c r="A161" s="51"/>
      <c r="E161" s="136"/>
      <c r="F161" s="136"/>
      <c r="G161" s="136"/>
    </row>
    <row r="162" spans="1:10" hidden="1">
      <c r="A162" s="234">
        <f>E140</f>
        <v>6.3209348999038184E-4</v>
      </c>
      <c r="E162" s="136"/>
      <c r="F162" s="136"/>
      <c r="G162" s="136"/>
    </row>
    <row r="163" spans="1:10" hidden="1">
      <c r="A163" s="51"/>
      <c r="E163" s="136"/>
      <c r="F163" s="136"/>
      <c r="G163" s="136"/>
    </row>
    <row r="164" spans="1:10">
      <c r="A164" s="51"/>
      <c r="E164" s="136"/>
      <c r="F164" s="136"/>
      <c r="I164" s="266" t="s">
        <v>143</v>
      </c>
      <c r="J164" s="136" t="s">
        <v>144</v>
      </c>
    </row>
    <row r="165" spans="1:10">
      <c r="A165" s="51" t="s">
        <v>184</v>
      </c>
      <c r="E165" s="136"/>
      <c r="F165" s="136" t="s">
        <v>17</v>
      </c>
      <c r="I165" s="267">
        <f>E140/((E138)*E136)</f>
        <v>2.3835890409976329E-2</v>
      </c>
      <c r="J165" s="233">
        <f>IF(E140/((E138)*E135)&gt;0,I165,0)</f>
        <v>2.3835890409976329E-2</v>
      </c>
    </row>
    <row r="166" spans="1:10">
      <c r="A166" s="51" t="s">
        <v>185</v>
      </c>
      <c r="E166" s="136"/>
      <c r="F166" s="136" t="s">
        <v>17</v>
      </c>
      <c r="I166" s="267">
        <f>I157</f>
        <v>9.5343561639905303E-3</v>
      </c>
      <c r="J166" s="261">
        <f>IF(E140/((E137)*E135)&gt;0,I166,0)</f>
        <v>9.5343561639905303E-3</v>
      </c>
    </row>
    <row r="167" spans="1:10">
      <c r="A167" s="51"/>
      <c r="E167" s="136"/>
      <c r="F167" s="136"/>
      <c r="I167" s="267"/>
      <c r="J167" s="262"/>
    </row>
    <row r="168" spans="1:10">
      <c r="A168" s="51" t="s">
        <v>132</v>
      </c>
      <c r="E168" s="136"/>
      <c r="F168" s="136" t="s">
        <v>17</v>
      </c>
      <c r="I168" s="267">
        <f>I165/E134*E139</f>
        <v>3.5753835614964494E-2</v>
      </c>
      <c r="J168" s="233">
        <f>IF(I165/E134*E139&gt;0,I168,0)</f>
        <v>3.5753835614964494E-2</v>
      </c>
    </row>
    <row r="169" spans="1:10">
      <c r="A169" s="51" t="s">
        <v>133</v>
      </c>
      <c r="E169" s="136"/>
      <c r="F169" s="136" t="s">
        <v>17</v>
      </c>
      <c r="I169" s="267">
        <f>I166/E134*E139</f>
        <v>1.4301534245985795E-2</v>
      </c>
      <c r="J169" s="233">
        <f>IF(I166/E134*E139&gt;0,I169,0)</f>
        <v>1.4301534245985795E-2</v>
      </c>
    </row>
  </sheetData>
  <sheetProtection algorithmName="SHA-512" hashValue="BLDB+P+EpsAug1oSFltiWZsYNNDZbDh+nFLP8SZBl7QCbBTPVnxUN6CF3Us549zzr/o0ZszOTKrkLbX9QnpDXw==" saltValue="Pyx8Ne+SymnYnobO+Dy/bQ==" spinCount="100000" sheet="1" objects="1" scenarios="1"/>
  <mergeCells count="1">
    <mergeCell ref="A131:J1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1F7A-6B2D-4CAA-A98E-5ABBB34AB07A}">
  <dimension ref="B1:G14"/>
  <sheetViews>
    <sheetView workbookViewId="0">
      <selection activeCell="G11" sqref="G11"/>
    </sheetView>
  </sheetViews>
  <sheetFormatPr defaultRowHeight="15"/>
  <sheetData>
    <row r="1" spans="2:7" s="136" customFormat="1">
      <c r="B1" s="49" t="s">
        <v>349</v>
      </c>
    </row>
    <row r="2" spans="2:7" s="136" customFormat="1"/>
    <row r="3" spans="2:7">
      <c r="B3" t="s">
        <v>346</v>
      </c>
      <c r="E3" t="s">
        <v>347</v>
      </c>
      <c r="G3" t="s">
        <v>348</v>
      </c>
    </row>
    <row r="4" spans="2:7" s="136" customFormat="1"/>
    <row r="5" spans="2:7" s="136" customFormat="1"/>
    <row r="6" spans="2:7">
      <c r="B6" s="49" t="s">
        <v>353</v>
      </c>
    </row>
    <row r="8" spans="2:7">
      <c r="E8" t="s">
        <v>350</v>
      </c>
    </row>
    <row r="12" spans="2:7">
      <c r="B12" s="49" t="s">
        <v>351</v>
      </c>
    </row>
    <row r="14" spans="2:7">
      <c r="B14" s="45" t="s">
        <v>352</v>
      </c>
    </row>
  </sheetData>
  <sheetProtection algorithmName="SHA-512" hashValue="+WP+CY6PNudyADMLqfYb6T6rxYIZ1biiDiQtoSuxZlpN1L9MFm6AmKBj9e5fxFVGXxUYisUPCgGVHj/bE18sow==" saltValue="t6/R/BRX1fe2h4JlViEpew==" spinCount="100000" sheet="1" objects="1" scenarios="1"/>
  <hyperlinks>
    <hyperlink ref="B14" r:id="rId1" xr:uid="{28A19E60-6DD5-48B8-ADF6-FE388AB0F46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9"/>
  <sheetViews>
    <sheetView topLeftCell="A94" workbookViewId="0">
      <selection activeCell="E111" sqref="E111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189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0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0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179</v>
      </c>
      <c r="F6" s="137">
        <v>0</v>
      </c>
      <c r="G6" s="103">
        <f>F120</f>
        <v>0</v>
      </c>
      <c r="H6" s="137"/>
      <c r="I6" s="137">
        <f>I3+($E$36*1000000)*E120</f>
        <v>160660935.76119155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0</v>
      </c>
      <c r="F7" s="137">
        <v>0</v>
      </c>
      <c r="G7" s="103">
        <f>F7</f>
        <v>0</v>
      </c>
      <c r="H7" s="137"/>
      <c r="I7" s="137">
        <f>I4+($E$36*1000000)*E7</f>
        <v>0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3</v>
      </c>
      <c r="F8" s="137">
        <v>0</v>
      </c>
      <c r="G8" s="103">
        <f>F8</f>
        <v>0</v>
      </c>
      <c r="H8" s="137"/>
      <c r="I8" s="137">
        <f>I5+($E$36*1000000)*E8</f>
        <v>2591952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182</v>
      </c>
      <c r="F9" s="67">
        <v>10</v>
      </c>
      <c r="G9" s="105">
        <f>SUM(G6:G8)</f>
        <v>0</v>
      </c>
      <c r="H9" s="67"/>
      <c r="I9" s="67">
        <f>SUM(I6:I8)</f>
        <v>163252887.76119155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179</v>
      </c>
      <c r="F10" s="106"/>
      <c r="G10" s="106">
        <f>G6</f>
        <v>0</v>
      </c>
      <c r="H10" s="68"/>
      <c r="I10" s="68">
        <f>I6</f>
        <v>160660935.76119155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0.98351648351648346</v>
      </c>
      <c r="F11" s="192">
        <f>F6/F9</f>
        <v>0</v>
      </c>
      <c r="G11" s="107" t="e">
        <f>G6/G9</f>
        <v>#DIV/0!</v>
      </c>
      <c r="H11" s="69"/>
      <c r="I11" s="191">
        <f>I6/I9</f>
        <v>0.98412308636284862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13.71</v>
      </c>
      <c r="F13" s="103">
        <v>13.71</v>
      </c>
      <c r="G13" s="103">
        <v>13.71</v>
      </c>
      <c r="H13" s="137"/>
      <c r="I13" s="103">
        <f>H13+G13</f>
        <v>13.71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2.8</v>
      </c>
      <c r="F15" s="103">
        <v>2.8</v>
      </c>
      <c r="G15" s="103">
        <v>2.8</v>
      </c>
      <c r="H15" s="137"/>
      <c r="I15" s="103">
        <v>2.8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1194.923</v>
      </c>
      <c r="F16" s="108">
        <v>1194.923</v>
      </c>
      <c r="G16" s="108">
        <v>1194.923</v>
      </c>
      <c r="H16" s="137"/>
      <c r="I16" s="108">
        <v>1194.923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2011</v>
      </c>
      <c r="F17" s="103">
        <v>2011</v>
      </c>
      <c r="G17" s="103">
        <v>2011</v>
      </c>
      <c r="H17" s="137"/>
      <c r="I17" s="103">
        <v>2011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0</v>
      </c>
      <c r="F18" s="103">
        <v>0</v>
      </c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>
        <v>54</v>
      </c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>
        <v>23</v>
      </c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66</v>
      </c>
      <c r="B23" s="19"/>
      <c r="C23" s="19"/>
      <c r="D23" s="144" t="s">
        <v>19</v>
      </c>
      <c r="E23" s="103">
        <v>0.86197299999999999</v>
      </c>
      <c r="F23" s="103">
        <v>0</v>
      </c>
      <c r="G23" s="103">
        <v>0.86197299999999999</v>
      </c>
      <c r="H23" s="137"/>
      <c r="I23" s="103">
        <f>H23+G23</f>
        <v>0.86197299999999999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126">
        <f>SUM(E23:E34)+E17/1000000</f>
        <v>0.86398399999999997</v>
      </c>
      <c r="F36" s="109"/>
      <c r="G36" s="208">
        <f>SUM(G23:G34)+G17/1000000</f>
        <v>0.86398399999999997</v>
      </c>
      <c r="H36" s="75"/>
      <c r="I36" s="222">
        <f>SUM(I23:I34)+I17/1000000</f>
        <v>0.86398399999999997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1.1519999999999999</v>
      </c>
      <c r="F38" s="110"/>
      <c r="G38" s="110">
        <v>1.1519999999999999</v>
      </c>
      <c r="H38" s="66"/>
      <c r="I38" s="110">
        <v>1.1519999999999999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179</v>
      </c>
      <c r="F40" s="111"/>
      <c r="G40" s="111">
        <f>G10</f>
        <v>0</v>
      </c>
      <c r="H40" s="72"/>
      <c r="I40" s="72">
        <f>I10</f>
        <v>160660935.76119155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0.98351648351648346</v>
      </c>
      <c r="F41" s="112"/>
      <c r="G41" s="112" t="e">
        <f>G11</f>
        <v>#DIV/0!</v>
      </c>
      <c r="H41" s="74"/>
      <c r="I41" s="74">
        <f>I11</f>
        <v>0.98412308636284862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13.71</v>
      </c>
      <c r="F42" s="112"/>
      <c r="G42" s="112">
        <f>G13</f>
        <v>13.71</v>
      </c>
      <c r="H42" s="74"/>
      <c r="I42" s="74">
        <f>I13</f>
        <v>13.71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23">
        <f>E18*E20/1000000</f>
        <v>0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112">
        <f>(E36*E16/E15)*E120/(E120+E7+E8)</f>
        <v>362.85825615937603</v>
      </c>
      <c r="F44" s="112"/>
      <c r="G44" s="112" t="e">
        <f>(G36*G16/G15)*G6/G9</f>
        <v>#DIV/0!</v>
      </c>
      <c r="H44" s="87"/>
      <c r="I44" s="221">
        <f>(I36*I16/I15)*I6/I9</f>
        <v>362.85825615937603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24">
        <f>E38+E13</f>
        <v>14.862</v>
      </c>
      <c r="F45" s="112"/>
      <c r="G45" s="112">
        <f>G38+G13</f>
        <v>14.862</v>
      </c>
      <c r="H45" s="74"/>
      <c r="I45" s="221">
        <f>I38+I13</f>
        <v>14.862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25">
        <f>(E43+E38+E13+(E36*E16/E15)*E120/(E120+E7+E8))/(E13*POWER(10,E14))</f>
        <v>27.550711608998981</v>
      </c>
      <c r="F47" s="114">
        <v>1.57</v>
      </c>
      <c r="G47" s="114" t="e">
        <f>(G43+G38+G13+(G36*G16/G15)*G6/G9)/(G13*POWER(10,G14))</f>
        <v>#DIV/0!</v>
      </c>
      <c r="H47" s="73"/>
      <c r="I47" s="219">
        <f>(I43+I38+I13+(I36*I16/I15)*I6/I9)/(I13*POWER(10,I14))</f>
        <v>27.550711608998981</v>
      </c>
      <c r="J47" s="73"/>
    </row>
    <row r="48" spans="1:10">
      <c r="A48" s="65" t="s">
        <v>24</v>
      </c>
      <c r="B48" s="149"/>
      <c r="C48" s="149"/>
      <c r="D48" s="144" t="s">
        <v>18</v>
      </c>
      <c r="E48" s="225">
        <f>E13*E47</f>
        <v>377.72025615937605</v>
      </c>
      <c r="F48" s="114">
        <v>10.55</v>
      </c>
      <c r="G48" s="114" t="e">
        <f>G13*G47</f>
        <v>#DIV/0!</v>
      </c>
      <c r="H48" s="73"/>
      <c r="I48" s="73">
        <f>I13*I47</f>
        <v>377.72025615937605</v>
      </c>
      <c r="J48" s="73"/>
    </row>
    <row r="49" spans="1:10">
      <c r="A49" s="65" t="s">
        <v>25</v>
      </c>
      <c r="B49" s="149"/>
      <c r="C49" s="149"/>
      <c r="D49" s="144" t="s">
        <v>18</v>
      </c>
      <c r="E49" s="114">
        <f>E48-E13</f>
        <v>364.01025615937607</v>
      </c>
      <c r="F49" s="114">
        <v>10.55</v>
      </c>
      <c r="G49" s="114" t="e">
        <f>G48-G13</f>
        <v>#DIV/0!</v>
      </c>
      <c r="H49" s="87"/>
      <c r="I49" s="219">
        <f>I48-I13</f>
        <v>364.01025615937607</v>
      </c>
      <c r="J49" s="87">
        <f>I49-E49</f>
        <v>0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0.30463072194557816</v>
      </c>
      <c r="F50" s="115">
        <v>1.2800000000000001E-2</v>
      </c>
      <c r="G50" s="115" t="e">
        <f>G49/G16</f>
        <v>#DIV/0!</v>
      </c>
      <c r="H50" s="76"/>
      <c r="I50" s="76">
        <f>I49/I16</f>
        <v>0.30463072194557816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0</v>
      </c>
      <c r="F52" s="117"/>
      <c r="G52" s="117" t="e">
        <f>G43/(G43+G44+G45)</f>
        <v>#DIV/0!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0.96065342073227566</v>
      </c>
      <c r="F53" s="117"/>
      <c r="G53" s="117" t="e">
        <f>G44/(G43+G44+G45)</f>
        <v>#DIV/0!</v>
      </c>
      <c r="H53" s="79"/>
      <c r="I53" s="79">
        <f>I44/(I43+I44+I45)</f>
        <v>0.96065342073227566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3.9346579267724252E-2</v>
      </c>
      <c r="F54" s="117"/>
      <c r="G54" s="117" t="e">
        <f>G45/(G43+G44+G45)</f>
        <v>#DIV/0!</v>
      </c>
      <c r="H54" s="79"/>
      <c r="I54" s="79">
        <f>I45/(I43+I44+I45)</f>
        <v>3.9346579267724252E-2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0.51219000000000003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0.248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80.399152000000001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v>78.252578</v>
      </c>
      <c r="F63" s="121"/>
      <c r="G63" s="124">
        <v>376.858</v>
      </c>
      <c r="H63" s="52"/>
      <c r="I63" s="52">
        <v>376.858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v>34</v>
      </c>
      <c r="F68" s="123"/>
      <c r="G68" s="123"/>
      <c r="H68" s="53"/>
      <c r="I68" s="53"/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2011</v>
      </c>
      <c r="F69" s="123"/>
      <c r="G69" s="123">
        <f>G17</f>
        <v>2011</v>
      </c>
      <c r="H69" s="53"/>
      <c r="I69" s="53">
        <f>I17</f>
        <v>2011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0.69104699999999997</v>
      </c>
      <c r="F72" s="119"/>
      <c r="G72" s="134">
        <v>1.0263485000000001</v>
      </c>
      <c r="H72" s="85"/>
      <c r="I72" s="85">
        <v>1.0263485000000001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0.24774399999999999</v>
      </c>
      <c r="F73" s="119"/>
      <c r="G73" s="134">
        <v>0.96448999999999996</v>
      </c>
      <c r="H73" s="85"/>
      <c r="I73" s="85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82.341009999999997</v>
      </c>
      <c r="F74" s="120"/>
      <c r="G74" s="122">
        <v>367</v>
      </c>
      <c r="H74" s="54"/>
      <c r="I74" s="54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v>81.371309999999994</v>
      </c>
      <c r="F75" s="121"/>
      <c r="G75" s="124">
        <v>365.60599999999999</v>
      </c>
      <c r="H75" s="52"/>
      <c r="I75" s="52">
        <v>365.60599999999999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8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v>35</v>
      </c>
      <c r="F80" s="124"/>
      <c r="G80" s="124">
        <v>69</v>
      </c>
      <c r="H80" s="52"/>
      <c r="I80" s="52"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2011</v>
      </c>
      <c r="F81" s="122"/>
      <c r="G81" s="122">
        <v>6447</v>
      </c>
      <c r="H81" s="54"/>
      <c r="I81" s="54">
        <v>6447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3.9581475973697523E-2</v>
      </c>
      <c r="F84" s="125"/>
      <c r="G84" s="125">
        <f>G63/(G69-G68)</f>
        <v>0.18739830929885629</v>
      </c>
      <c r="H84" s="55"/>
      <c r="I84" s="55">
        <f>I63/(I69-I68)</f>
        <v>0.18739830929885629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4.1179812753036435E-2</v>
      </c>
      <c r="F85" s="126"/>
      <c r="G85" s="126">
        <f>G75/(G81-G80)</f>
        <v>5.7322985261837565E-2</v>
      </c>
      <c r="H85" s="62"/>
      <c r="I85" s="62">
        <f>I75/(I81-I80)</f>
        <v>5.7322985261837565E-2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2.2358529411764708E-2</v>
      </c>
      <c r="F86" s="125"/>
      <c r="G86" s="125">
        <f>IF(G68=0,0,(G60+G61)/G68)</f>
        <v>0</v>
      </c>
      <c r="H86" s="55"/>
      <c r="I86" s="55">
        <f>IF(I68=0,0,(I60+I61)/I68)</f>
        <v>0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2.6822599999999999E-2</v>
      </c>
      <c r="F87" s="125"/>
      <c r="G87" s="125">
        <f>IF(G80=0,0,(G72+G73)/G80)</f>
        <v>2.8852731884057972E-2</v>
      </c>
      <c r="H87" s="55"/>
      <c r="I87" s="55">
        <f>IF(I80=0,0,(I72+I73)/I80)</f>
        <v>2.8852731884057972E-2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0.83357054915499273</v>
      </c>
      <c r="F90" s="126"/>
      <c r="G90" s="126">
        <f>IF(G87=0,0,G86/G87)</f>
        <v>0</v>
      </c>
      <c r="H90" s="62"/>
      <c r="I90" s="62">
        <f>IF(I87=0,0,I86/I87)</f>
        <v>0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0.96118640002264077</v>
      </c>
      <c r="F92" s="125"/>
      <c r="G92" s="125">
        <f>IF(G85=0,0,G84/G85)</f>
        <v>3.2691652125733861</v>
      </c>
      <c r="H92" s="55"/>
      <c r="I92" s="55">
        <f>IF(I85=0,0,I84/I85)</f>
        <v>3.2691652125733861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-4.8506146835538687E-2</v>
      </c>
      <c r="F96" s="128"/>
      <c r="G96" s="128">
        <f>(G60+G61)*(G90-G92)/2</f>
        <v>-3.5087518696742093</v>
      </c>
      <c r="H96" s="57"/>
      <c r="I96" s="57">
        <f>(I60+I61)*(I90-I92)/2</f>
        <v>-3.5087518696742093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27.554249621167877</v>
      </c>
      <c r="F99" s="129"/>
      <c r="G99" s="129" t="e">
        <f>G100/G42</f>
        <v>#DIV/0!</v>
      </c>
      <c r="H99" s="58"/>
      <c r="I99" s="58">
        <f>I100/I42</f>
        <v>27.806638076517157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377.76876230621161</v>
      </c>
      <c r="F100" s="130"/>
      <c r="G100" s="130" t="e">
        <f>G42+G101</f>
        <v>#DIV/0!</v>
      </c>
      <c r="H100" s="59"/>
      <c r="I100" s="59">
        <f>I42+I101</f>
        <v>381.22900802905025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364.05876230621163</v>
      </c>
      <c r="F101" s="131"/>
      <c r="G101" s="131" t="e">
        <f>G49-(G95+G96)</f>
        <v>#DIV/0!</v>
      </c>
      <c r="H101" s="60"/>
      <c r="I101" s="60">
        <f>I49-(I95+I96)</f>
        <v>367.51900802905027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0.30467131547908244</v>
      </c>
      <c r="F102" s="132"/>
      <c r="G102" s="132" t="e">
        <f>G101/G16</f>
        <v>#DIV/0!</v>
      </c>
      <c r="H102" s="61"/>
      <c r="I102" s="61">
        <f>I101/I16</f>
        <v>0.30756710518506236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182</v>
      </c>
      <c r="F110" s="152">
        <f>F9</f>
        <v>10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2800000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68.060845574535008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6.1153068624540848E-2</v>
      </c>
      <c r="F115" s="163">
        <f>SQRT((1.65*1.65)*0.5*(1-0.5)/F110)</f>
        <v>0.2608879069638913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179</v>
      </c>
      <c r="F116" s="164">
        <f>F6</f>
        <v>0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-6.9536007162071893</v>
      </c>
      <c r="F117" s="200">
        <f>(F115-F108)*F6</f>
        <v>0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1.0217230808582811</v>
      </c>
      <c r="F118" s="136">
        <f>F6/F9*(1-(F115-F108))</f>
        <v>0</v>
      </c>
      <c r="G118" s="136"/>
    </row>
    <row r="119" spans="1:10">
      <c r="A119" s="148" t="s">
        <v>183</v>
      </c>
      <c r="E119" s="102">
        <f>E6/E9</f>
        <v>0.98351648351648346</v>
      </c>
      <c r="F119" s="102">
        <f>F6/F9</f>
        <v>0</v>
      </c>
    </row>
    <row r="120" spans="1:10">
      <c r="A120" s="148" t="s">
        <v>89</v>
      </c>
      <c r="E120" s="102">
        <f>E118*E9</f>
        <v>185.95360071620718</v>
      </c>
      <c r="F120" s="102">
        <f>F118*F9</f>
        <v>0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364.01025615937607</v>
      </c>
      <c r="F125" s="218">
        <f>I49</f>
        <v>364.01025615937607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364.01025615937607</v>
      </c>
      <c r="F129" s="209">
        <f>F125-(F128/40075)*F126*F125</f>
        <v>364.00753119176915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-2.7249676069232009E-3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364.01025615937607</v>
      </c>
      <c r="D150" s="212">
        <f>F129</f>
        <v>364.00753119176915</v>
      </c>
      <c r="E150" s="136"/>
      <c r="F150" s="137">
        <f>B150+(E140/E139)</f>
        <v>364.00934783684045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-2.4953212724998508E-6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-2.7249676069232009E-3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-9.3161285706776106E-2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-2.7249676069232009E-3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-2.7948385712032831E-2</v>
      </c>
    </row>
    <row r="161" spans="1:8">
      <c r="A161" s="51"/>
      <c r="E161" s="136"/>
      <c r="F161" s="136"/>
      <c r="G161" s="136"/>
    </row>
    <row r="162" spans="1:8">
      <c r="A162" s="182">
        <f>E140</f>
        <v>-2.7249676069232009E-3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-0.23290321426694024</v>
      </c>
      <c r="H165" s="204">
        <f>IF(E140/((E138)*E135)&gt;0,G165,0)</f>
        <v>0</v>
      </c>
    </row>
    <row r="166" spans="1:8">
      <c r="A166" s="51" t="s">
        <v>185</v>
      </c>
      <c r="E166" s="136"/>
      <c r="F166" s="136" t="s">
        <v>17</v>
      </c>
      <c r="G166" s="194">
        <f>H157</f>
        <v>-9.3161285706776106E-2</v>
      </c>
      <c r="H166" s="205">
        <f>IF(E140/((E137)*E135)&gt;0,G166,0)</f>
        <v>0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-0.34935482140041035</v>
      </c>
      <c r="H168" s="189">
        <f>IF(G165/E134*E139&gt;0,G168,0)</f>
        <v>0</v>
      </c>
    </row>
    <row r="169" spans="1:8">
      <c r="A169" s="51" t="s">
        <v>133</v>
      </c>
      <c r="E169" s="136"/>
      <c r="F169" s="136" t="s">
        <v>17</v>
      </c>
      <c r="G169" s="193">
        <f>G166/E134*E139</f>
        <v>-0.13974192856016415</v>
      </c>
      <c r="H169" s="189">
        <f>IF(G166/E134*E139&gt;0,G169,0)</f>
        <v>0</v>
      </c>
    </row>
  </sheetData>
  <mergeCells count="1">
    <mergeCell ref="A131:J1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5"/>
  <sheetViews>
    <sheetView workbookViewId="0">
      <selection activeCell="A5" sqref="A5"/>
    </sheetView>
  </sheetViews>
  <sheetFormatPr defaultRowHeight="15"/>
  <cols>
    <col min="1" max="1" width="27.28515625" style="102" customWidth="1"/>
    <col min="2" max="2" width="8.85546875" style="102" customWidth="1"/>
    <col min="3" max="3" width="9.140625" style="102"/>
    <col min="4" max="4" width="54.28515625" style="102" customWidth="1"/>
    <col min="5" max="5" width="9.140625" style="102"/>
  </cols>
  <sheetData>
    <row r="1" spans="1:5">
      <c r="A1" s="102" t="s">
        <v>193</v>
      </c>
      <c r="B1" s="102" t="s">
        <v>194</v>
      </c>
      <c r="C1" s="102" t="s">
        <v>195</v>
      </c>
      <c r="D1" s="102" t="s">
        <v>196</v>
      </c>
      <c r="E1" s="102" t="s">
        <v>197</v>
      </c>
    </row>
    <row r="2" spans="1:5">
      <c r="A2" s="102" t="s">
        <v>0</v>
      </c>
    </row>
    <row r="3" spans="1:5" ht="45">
      <c r="A3" s="102" t="s">
        <v>203</v>
      </c>
      <c r="C3" s="102">
        <v>179</v>
      </c>
      <c r="D3" s="102" t="s">
        <v>199</v>
      </c>
      <c r="E3" s="102" t="s">
        <v>200</v>
      </c>
    </row>
    <row r="4" spans="1:5" ht="45">
      <c r="A4" s="102" t="s">
        <v>338</v>
      </c>
      <c r="C4" s="102">
        <v>3</v>
      </c>
      <c r="D4" s="102" t="s">
        <v>201</v>
      </c>
      <c r="E4" s="102" t="s">
        <v>200</v>
      </c>
    </row>
    <row r="5" spans="1:5">
      <c r="A5" s="102" t="s">
        <v>339</v>
      </c>
      <c r="C5" s="102">
        <v>0</v>
      </c>
      <c r="D5" s="102" t="s">
        <v>202</v>
      </c>
    </row>
    <row r="7" spans="1:5">
      <c r="A7" s="102" t="s">
        <v>4</v>
      </c>
      <c r="B7" s="102">
        <v>34</v>
      </c>
      <c r="C7" s="102">
        <v>13710000</v>
      </c>
    </row>
    <row r="8" spans="1:5">
      <c r="A8" s="102" t="s">
        <v>5</v>
      </c>
    </row>
    <row r="9" spans="1:5">
      <c r="A9" s="102" t="s">
        <v>186</v>
      </c>
      <c r="B9" s="102">
        <v>35</v>
      </c>
      <c r="C9" s="102">
        <v>1194923000</v>
      </c>
    </row>
    <row r="10" spans="1:5">
      <c r="A10" s="102" t="s">
        <v>11</v>
      </c>
      <c r="C10" s="102">
        <v>2011</v>
      </c>
      <c r="D10" s="102" t="s">
        <v>204</v>
      </c>
      <c r="E10" s="102" t="s">
        <v>205</v>
      </c>
    </row>
    <row r="11" spans="1:5">
      <c r="A11" s="102" t="s">
        <v>12</v>
      </c>
    </row>
    <row r="12" spans="1:5" ht="75">
      <c r="A12" s="102" t="s">
        <v>26</v>
      </c>
      <c r="B12" s="102">
        <v>3</v>
      </c>
      <c r="C12" s="102" t="s">
        <v>206</v>
      </c>
      <c r="D12" s="102" t="s">
        <v>207</v>
      </c>
    </row>
    <row r="13" spans="1:5" ht="75">
      <c r="A13" s="102" t="s">
        <v>21</v>
      </c>
      <c r="B13" s="102">
        <v>4</v>
      </c>
      <c r="C13" s="102" t="s">
        <v>206</v>
      </c>
      <c r="D13" s="102" t="s">
        <v>207</v>
      </c>
    </row>
    <row r="15" spans="1:5">
      <c r="A15" s="102" t="s">
        <v>208</v>
      </c>
    </row>
    <row r="16" spans="1:5" ht="30">
      <c r="A16" s="102" t="s">
        <v>209</v>
      </c>
      <c r="D16" s="102" t="s">
        <v>210</v>
      </c>
      <c r="E16" s="102" t="s">
        <v>211</v>
      </c>
    </row>
    <row r="17" spans="1:5" ht="30">
      <c r="A17" s="102" t="s">
        <v>212</v>
      </c>
      <c r="B17" s="102" t="s">
        <v>213</v>
      </c>
      <c r="C17" s="102" t="s">
        <v>214</v>
      </c>
      <c r="D17" s="102" t="s">
        <v>215</v>
      </c>
      <c r="E17" s="102" t="s">
        <v>216</v>
      </c>
    </row>
    <row r="18" spans="1:5">
      <c r="A18" s="102" t="s">
        <v>217</v>
      </c>
    </row>
    <row r="19" spans="1:5">
      <c r="A19" s="102" t="s">
        <v>218</v>
      </c>
      <c r="B19" s="102" t="s">
        <v>219</v>
      </c>
      <c r="C19" s="102">
        <v>1</v>
      </c>
      <c r="D19" s="102">
        <v>8832</v>
      </c>
      <c r="E19" s="102">
        <v>8832</v>
      </c>
    </row>
    <row r="20" spans="1:5">
      <c r="A20" s="102" t="s">
        <v>220</v>
      </c>
      <c r="B20" s="102" t="s">
        <v>219</v>
      </c>
      <c r="C20" s="102">
        <v>1</v>
      </c>
      <c r="D20" s="102">
        <v>317</v>
      </c>
      <c r="E20" s="102">
        <v>317</v>
      </c>
    </row>
    <row r="21" spans="1:5">
      <c r="A21" s="102" t="s">
        <v>221</v>
      </c>
      <c r="B21" s="102" t="s">
        <v>219</v>
      </c>
      <c r="C21" s="102">
        <v>1</v>
      </c>
      <c r="D21" s="102">
        <v>75</v>
      </c>
      <c r="E21" s="102">
        <v>75</v>
      </c>
    </row>
    <row r="22" spans="1:5">
      <c r="A22" s="102" t="s">
        <v>222</v>
      </c>
      <c r="B22" s="102" t="s">
        <v>219</v>
      </c>
      <c r="C22" s="102">
        <v>1</v>
      </c>
      <c r="D22" s="102">
        <v>1151</v>
      </c>
      <c r="E22" s="102">
        <v>1151</v>
      </c>
    </row>
    <row r="23" spans="1:5">
      <c r="A23" s="102" t="s">
        <v>223</v>
      </c>
      <c r="B23" s="102" t="s">
        <v>219</v>
      </c>
      <c r="C23" s="102">
        <v>1</v>
      </c>
      <c r="D23" s="102">
        <v>11</v>
      </c>
      <c r="E23" s="102">
        <v>11</v>
      </c>
    </row>
    <row r="24" spans="1:5">
      <c r="A24" s="102" t="s">
        <v>224</v>
      </c>
      <c r="B24" s="102" t="s">
        <v>219</v>
      </c>
      <c r="C24" s="102">
        <v>1</v>
      </c>
      <c r="D24" s="102">
        <v>97</v>
      </c>
      <c r="E24" s="102">
        <v>97</v>
      </c>
    </row>
    <row r="25" spans="1:5">
      <c r="A25" s="102" t="s">
        <v>8</v>
      </c>
      <c r="E25" s="102">
        <v>10483</v>
      </c>
    </row>
    <row r="27" spans="1:5">
      <c r="A27" s="102" t="s">
        <v>225</v>
      </c>
    </row>
    <row r="28" spans="1:5">
      <c r="A28" s="102" t="s">
        <v>226</v>
      </c>
      <c r="B28" s="102" t="s">
        <v>219</v>
      </c>
      <c r="C28" s="102">
        <v>1</v>
      </c>
      <c r="D28" s="102">
        <v>2714</v>
      </c>
      <c r="E28" s="102">
        <v>2714</v>
      </c>
    </row>
    <row r="29" spans="1:5">
      <c r="A29" s="102" t="s">
        <v>8</v>
      </c>
      <c r="E29" s="102">
        <v>2174</v>
      </c>
    </row>
    <row r="31" spans="1:5">
      <c r="A31" s="102" t="s">
        <v>227</v>
      </c>
    </row>
    <row r="32" spans="1:5">
      <c r="A32" s="102" t="s">
        <v>228</v>
      </c>
      <c r="B32" s="102" t="s">
        <v>229</v>
      </c>
      <c r="C32" s="102">
        <v>30</v>
      </c>
      <c r="D32" s="102">
        <v>118</v>
      </c>
      <c r="E32" s="102">
        <v>3540</v>
      </c>
    </row>
    <row r="33" spans="1:5">
      <c r="A33" s="102" t="s">
        <v>230</v>
      </c>
      <c r="B33" s="102" t="s">
        <v>229</v>
      </c>
      <c r="C33" s="102">
        <v>30</v>
      </c>
      <c r="D33" s="102">
        <v>58</v>
      </c>
      <c r="E33" s="102">
        <v>1740</v>
      </c>
    </row>
    <row r="34" spans="1:5">
      <c r="A34" s="102" t="s">
        <v>231</v>
      </c>
      <c r="B34" s="102" t="s">
        <v>229</v>
      </c>
      <c r="C34" s="102">
        <v>30</v>
      </c>
      <c r="D34" s="102">
        <v>851</v>
      </c>
      <c r="E34" s="102">
        <v>25530</v>
      </c>
    </row>
    <row r="35" spans="1:5">
      <c r="A35" s="102" t="s">
        <v>232</v>
      </c>
      <c r="B35" s="102" t="s">
        <v>229</v>
      </c>
      <c r="C35" s="102">
        <v>30</v>
      </c>
      <c r="D35" s="102">
        <v>6</v>
      </c>
      <c r="E35" s="102">
        <v>180</v>
      </c>
    </row>
    <row r="36" spans="1:5">
      <c r="A36" s="102" t="s">
        <v>233</v>
      </c>
      <c r="B36" s="102" t="s">
        <v>229</v>
      </c>
      <c r="C36" s="102">
        <v>30</v>
      </c>
      <c r="D36" s="102">
        <v>0</v>
      </c>
      <c r="E36" s="102">
        <v>0</v>
      </c>
    </row>
    <row r="37" spans="1:5">
      <c r="A37" s="102" t="s">
        <v>234</v>
      </c>
      <c r="B37" s="102" t="s">
        <v>229</v>
      </c>
      <c r="C37" s="102">
        <v>30</v>
      </c>
      <c r="D37" s="102">
        <v>75</v>
      </c>
      <c r="E37" s="102">
        <v>2250</v>
      </c>
    </row>
    <row r="38" spans="1:5">
      <c r="A38" s="102" t="s">
        <v>235</v>
      </c>
      <c r="B38" s="102" t="s">
        <v>229</v>
      </c>
      <c r="C38" s="102">
        <v>30</v>
      </c>
      <c r="D38" s="102">
        <v>269</v>
      </c>
      <c r="E38" s="102">
        <v>8070</v>
      </c>
    </row>
    <row r="39" spans="1:5">
      <c r="A39" s="102" t="s">
        <v>236</v>
      </c>
      <c r="B39" s="102" t="s">
        <v>229</v>
      </c>
      <c r="C39" s="102">
        <v>30</v>
      </c>
      <c r="D39" s="102">
        <v>23</v>
      </c>
      <c r="E39" s="102">
        <v>690</v>
      </c>
    </row>
    <row r="40" spans="1:5">
      <c r="A40" s="102" t="s">
        <v>237</v>
      </c>
      <c r="B40" s="102" t="s">
        <v>229</v>
      </c>
      <c r="C40" s="102">
        <v>30</v>
      </c>
      <c r="D40" s="102">
        <v>229</v>
      </c>
      <c r="E40" s="102">
        <v>6870</v>
      </c>
    </row>
    <row r="41" spans="1:5">
      <c r="A41" s="102" t="s">
        <v>238</v>
      </c>
      <c r="B41" s="102" t="s">
        <v>229</v>
      </c>
      <c r="C41" s="102">
        <v>30</v>
      </c>
      <c r="D41" s="102">
        <v>80</v>
      </c>
      <c r="E41" s="102">
        <v>2400</v>
      </c>
    </row>
    <row r="42" spans="1:5">
      <c r="A42" s="102" t="s">
        <v>239</v>
      </c>
      <c r="B42" s="102" t="s">
        <v>229</v>
      </c>
      <c r="C42" s="102">
        <v>30</v>
      </c>
      <c r="D42" s="102">
        <v>0</v>
      </c>
      <c r="E42" s="102">
        <v>0</v>
      </c>
    </row>
    <row r="43" spans="1:5">
      <c r="A43" s="102" t="s">
        <v>220</v>
      </c>
      <c r="B43" s="102" t="s">
        <v>229</v>
      </c>
      <c r="C43" s="102">
        <v>15</v>
      </c>
      <c r="D43" s="102">
        <v>679</v>
      </c>
      <c r="E43" s="102">
        <v>10185</v>
      </c>
    </row>
    <row r="44" spans="1:5">
      <c r="A44" s="102" t="s">
        <v>240</v>
      </c>
      <c r="B44" s="102" t="s">
        <v>229</v>
      </c>
      <c r="C44" s="102">
        <v>30</v>
      </c>
      <c r="D44" s="102">
        <v>60</v>
      </c>
      <c r="E44" s="102">
        <v>1800</v>
      </c>
    </row>
    <row r="45" spans="1:5">
      <c r="A45" s="102" t="s">
        <v>8</v>
      </c>
      <c r="E45" s="102">
        <v>63255</v>
      </c>
    </row>
    <row r="47" spans="1:5">
      <c r="A47" s="102" t="s">
        <v>241</v>
      </c>
      <c r="B47" s="102" t="s">
        <v>242</v>
      </c>
      <c r="C47" s="102">
        <v>1</v>
      </c>
      <c r="D47" s="102">
        <v>125</v>
      </c>
      <c r="E47" s="102">
        <v>125</v>
      </c>
    </row>
    <row r="48" spans="1:5" ht="30">
      <c r="B48" s="102" t="s">
        <v>243</v>
      </c>
      <c r="C48" s="102">
        <v>1</v>
      </c>
      <c r="D48" s="102">
        <v>2699</v>
      </c>
      <c r="E48" s="102">
        <v>2699</v>
      </c>
    </row>
    <row r="49" spans="1:5">
      <c r="E49" s="102">
        <v>2824</v>
      </c>
    </row>
    <row r="51" spans="1:5">
      <c r="A51" s="102" t="s">
        <v>244</v>
      </c>
    </row>
    <row r="52" spans="1:5">
      <c r="A52" s="102" t="s">
        <v>239</v>
      </c>
      <c r="B52" s="102" t="s">
        <v>6</v>
      </c>
      <c r="C52" s="102">
        <v>1</v>
      </c>
      <c r="D52" s="102">
        <v>876</v>
      </c>
      <c r="E52" s="102">
        <v>876</v>
      </c>
    </row>
    <row r="53" spans="1:5">
      <c r="A53" s="102" t="s">
        <v>237</v>
      </c>
      <c r="B53" s="102" t="s">
        <v>6</v>
      </c>
      <c r="C53" s="102">
        <v>1</v>
      </c>
      <c r="D53" s="102">
        <v>106</v>
      </c>
      <c r="E53" s="102">
        <v>106</v>
      </c>
    </row>
    <row r="54" spans="1:5">
      <c r="A54" s="102" t="s">
        <v>245</v>
      </c>
      <c r="B54" s="102" t="s">
        <v>6</v>
      </c>
      <c r="C54" s="102">
        <v>1</v>
      </c>
      <c r="D54" s="102">
        <v>241</v>
      </c>
      <c r="E54" s="102">
        <v>241</v>
      </c>
    </row>
    <row r="55" spans="1:5">
      <c r="A55" s="102" t="s">
        <v>246</v>
      </c>
      <c r="B55" s="102" t="s">
        <v>6</v>
      </c>
      <c r="C55" s="102">
        <v>1</v>
      </c>
      <c r="D55" s="102">
        <v>2083</v>
      </c>
      <c r="E55" s="102">
        <v>2083</v>
      </c>
    </row>
    <row r="56" spans="1:5">
      <c r="A56" s="102" t="s">
        <v>247</v>
      </c>
      <c r="B56" s="102" t="s">
        <v>6</v>
      </c>
      <c r="C56" s="102">
        <v>1</v>
      </c>
      <c r="D56" s="102">
        <v>76</v>
      </c>
      <c r="E56" s="102">
        <v>76</v>
      </c>
    </row>
    <row r="57" spans="1:5">
      <c r="A57" s="102" t="s">
        <v>248</v>
      </c>
      <c r="B57" s="102" t="s">
        <v>6</v>
      </c>
      <c r="C57" s="102">
        <v>1</v>
      </c>
      <c r="D57" s="102">
        <v>49227</v>
      </c>
      <c r="E57" s="102">
        <v>49227</v>
      </c>
    </row>
    <row r="59" spans="1:5">
      <c r="A59" s="102" t="s">
        <v>249</v>
      </c>
    </row>
    <row r="60" spans="1:5">
      <c r="A60" s="102" t="s">
        <v>250</v>
      </c>
      <c r="B60" s="102" t="s">
        <v>6</v>
      </c>
      <c r="C60" s="102">
        <v>1</v>
      </c>
      <c r="D60" s="102">
        <v>12429</v>
      </c>
      <c r="E60" s="102">
        <v>12429</v>
      </c>
    </row>
    <row r="61" spans="1:5">
      <c r="A61" s="102" t="s">
        <v>251</v>
      </c>
      <c r="B61" s="102" t="s">
        <v>6</v>
      </c>
      <c r="C61" s="102">
        <v>1</v>
      </c>
      <c r="D61" s="102">
        <v>961</v>
      </c>
      <c r="E61" s="102">
        <v>961</v>
      </c>
    </row>
    <row r="62" spans="1:5">
      <c r="A62" s="102" t="s">
        <v>252</v>
      </c>
      <c r="B62" s="102" t="s">
        <v>6</v>
      </c>
      <c r="C62" s="102">
        <v>1</v>
      </c>
      <c r="D62" s="102">
        <v>400</v>
      </c>
      <c r="E62" s="102">
        <v>400</v>
      </c>
    </row>
    <row r="63" spans="1:5">
      <c r="A63" s="102" t="s">
        <v>253</v>
      </c>
      <c r="B63" s="102" t="s">
        <v>6</v>
      </c>
      <c r="C63" s="102">
        <v>1</v>
      </c>
      <c r="D63" s="102">
        <v>121</v>
      </c>
      <c r="E63" s="102">
        <v>121</v>
      </c>
    </row>
    <row r="65" spans="1:5" ht="30">
      <c r="A65" s="102" t="s">
        <v>254</v>
      </c>
      <c r="B65" s="102" t="s">
        <v>255</v>
      </c>
      <c r="C65" s="102">
        <v>2.5</v>
      </c>
      <c r="D65" s="102">
        <v>28153</v>
      </c>
      <c r="E65" s="102">
        <v>70382.5</v>
      </c>
    </row>
    <row r="67" spans="1:5">
      <c r="A67" s="102" t="s">
        <v>256</v>
      </c>
    </row>
    <row r="68" spans="1:5">
      <c r="A68" s="102" t="s">
        <v>257</v>
      </c>
      <c r="B68" s="102" t="s">
        <v>6</v>
      </c>
      <c r="C68" s="102">
        <v>1</v>
      </c>
      <c r="D68" s="102">
        <v>1526</v>
      </c>
      <c r="E68" s="102">
        <v>1526</v>
      </c>
    </row>
    <row r="70" spans="1:5">
      <c r="B70" s="102" t="s">
        <v>258</v>
      </c>
      <c r="C70" s="102" t="s">
        <v>195</v>
      </c>
      <c r="D70" s="102" t="s">
        <v>196</v>
      </c>
      <c r="E70" s="102" t="s">
        <v>197</v>
      </c>
    </row>
    <row r="71" spans="1:5" ht="30">
      <c r="A71" s="102" t="s">
        <v>259</v>
      </c>
      <c r="B71" s="102" t="s">
        <v>260</v>
      </c>
      <c r="C71" s="102" t="s">
        <v>261</v>
      </c>
      <c r="D71" s="102" t="s">
        <v>262</v>
      </c>
    </row>
    <row r="73" spans="1:5" ht="30">
      <c r="A73" s="102" t="s">
        <v>263</v>
      </c>
      <c r="B73" s="102" t="s">
        <v>264</v>
      </c>
      <c r="C73" s="102" t="s">
        <v>265</v>
      </c>
      <c r="D73" s="102" t="s">
        <v>266</v>
      </c>
      <c r="E73" s="102" t="s">
        <v>197</v>
      </c>
    </row>
    <row r="74" spans="1:5">
      <c r="A74" s="102" t="s">
        <v>267</v>
      </c>
    </row>
    <row r="75" spans="1:5">
      <c r="A75" s="102" t="s">
        <v>38</v>
      </c>
      <c r="B75" s="102" t="s">
        <v>268</v>
      </c>
      <c r="C75" s="102">
        <v>520419</v>
      </c>
      <c r="D75" s="102" t="s">
        <v>269</v>
      </c>
      <c r="E75" s="102" t="s">
        <v>270</v>
      </c>
    </row>
    <row r="76" spans="1:5" ht="30">
      <c r="A76" s="102" t="s">
        <v>39</v>
      </c>
      <c r="B76" s="102" t="s">
        <v>271</v>
      </c>
      <c r="C76" s="102">
        <v>248000</v>
      </c>
      <c r="D76" s="102" t="s">
        <v>269</v>
      </c>
      <c r="E76" s="102" t="s">
        <v>270</v>
      </c>
    </row>
    <row r="77" spans="1:5" ht="30">
      <c r="A77" s="102" t="s">
        <v>40</v>
      </c>
      <c r="B77" s="102" t="s">
        <v>272</v>
      </c>
      <c r="C77" s="102" t="s">
        <v>273</v>
      </c>
      <c r="D77" s="102" t="s">
        <v>274</v>
      </c>
      <c r="E77" s="102" t="s">
        <v>270</v>
      </c>
    </row>
    <row r="78" spans="1:5" ht="30">
      <c r="A78" s="102" t="s">
        <v>41</v>
      </c>
      <c r="C78" s="102" t="s">
        <v>275</v>
      </c>
      <c r="D78" s="102" t="s">
        <v>276</v>
      </c>
    </row>
    <row r="79" spans="1:5">
      <c r="A79" s="102" t="s">
        <v>42</v>
      </c>
      <c r="C79" s="102">
        <v>0</v>
      </c>
    </row>
    <row r="80" spans="1:5" ht="30">
      <c r="A80" s="102" t="s">
        <v>67</v>
      </c>
      <c r="C80" s="102">
        <v>0</v>
      </c>
    </row>
    <row r="81" spans="1:5">
      <c r="A81" s="102" t="s">
        <v>60</v>
      </c>
      <c r="B81" s="102" t="s">
        <v>268</v>
      </c>
      <c r="C81" s="102">
        <v>7</v>
      </c>
      <c r="D81" s="102" t="s">
        <v>269</v>
      </c>
      <c r="E81" s="102" t="s">
        <v>270</v>
      </c>
    </row>
    <row r="82" spans="1:5">
      <c r="A82" s="102" t="s">
        <v>59</v>
      </c>
      <c r="B82" s="102" t="s">
        <v>277</v>
      </c>
      <c r="C82" s="102">
        <v>27</v>
      </c>
      <c r="D82" s="102" t="s">
        <v>269</v>
      </c>
      <c r="E82" s="102" t="s">
        <v>270</v>
      </c>
    </row>
    <row r="83" spans="1:5">
      <c r="A83" s="102" t="s">
        <v>61</v>
      </c>
      <c r="C83" s="102">
        <v>34</v>
      </c>
    </row>
    <row r="84" spans="1:5">
      <c r="A84" s="102" t="s">
        <v>44</v>
      </c>
      <c r="C84" s="102">
        <v>2011</v>
      </c>
      <c r="D84" s="102" t="s">
        <v>278</v>
      </c>
    </row>
    <row r="85" spans="1:5">
      <c r="A85" s="102" t="s">
        <v>279</v>
      </c>
    </row>
    <row r="86" spans="1:5" ht="30">
      <c r="A86" s="102" t="s">
        <v>38</v>
      </c>
      <c r="B86" s="102" t="s">
        <v>280</v>
      </c>
      <c r="C86" s="102" t="s">
        <v>281</v>
      </c>
      <c r="D86" s="102" t="s">
        <v>282</v>
      </c>
      <c r="E86" s="102" t="s">
        <v>270</v>
      </c>
    </row>
    <row r="87" spans="1:5" ht="30">
      <c r="A87" s="102" t="s">
        <v>39</v>
      </c>
      <c r="B87" s="102" t="s">
        <v>283</v>
      </c>
      <c r="C87" s="102" t="s">
        <v>284</v>
      </c>
      <c r="D87" s="102" t="s">
        <v>285</v>
      </c>
      <c r="E87" s="102" t="s">
        <v>270</v>
      </c>
    </row>
    <row r="88" spans="1:5" ht="30">
      <c r="A88" s="102" t="s">
        <v>40</v>
      </c>
      <c r="B88" s="102" t="s">
        <v>286</v>
      </c>
      <c r="C88" s="102" t="s">
        <v>287</v>
      </c>
      <c r="D88" s="102" t="s">
        <v>288</v>
      </c>
      <c r="E88" s="102" t="s">
        <v>270</v>
      </c>
    </row>
    <row r="89" spans="1:5" ht="30">
      <c r="A89" s="102" t="s">
        <v>41</v>
      </c>
      <c r="C89" s="102" t="s">
        <v>289</v>
      </c>
    </row>
    <row r="90" spans="1:5">
      <c r="A90" s="102" t="s">
        <v>42</v>
      </c>
      <c r="C90" s="102">
        <v>0</v>
      </c>
    </row>
    <row r="91" spans="1:5" ht="30">
      <c r="A91" s="102" t="s">
        <v>67</v>
      </c>
      <c r="C91" s="102">
        <v>0</v>
      </c>
    </row>
    <row r="92" spans="1:5">
      <c r="A92" s="102" t="s">
        <v>60</v>
      </c>
      <c r="B92" s="102" t="s">
        <v>280</v>
      </c>
      <c r="C92" s="102">
        <v>8</v>
      </c>
      <c r="D92" s="102" t="s">
        <v>282</v>
      </c>
      <c r="E92" s="102" t="s">
        <v>270</v>
      </c>
    </row>
    <row r="93" spans="1:5">
      <c r="A93" s="102" t="s">
        <v>59</v>
      </c>
      <c r="B93" s="102" t="s">
        <v>290</v>
      </c>
      <c r="C93" s="102">
        <v>27</v>
      </c>
      <c r="D93" s="102" t="s">
        <v>282</v>
      </c>
      <c r="E93" s="102" t="s">
        <v>270</v>
      </c>
    </row>
    <row r="94" spans="1:5">
      <c r="A94" s="102" t="s">
        <v>61</v>
      </c>
      <c r="C94" s="102">
        <v>35</v>
      </c>
    </row>
    <row r="95" spans="1:5">
      <c r="A95" s="102" t="s">
        <v>44</v>
      </c>
      <c r="C95" s="102">
        <v>2011</v>
      </c>
      <c r="D95" s="102" t="s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9"/>
  <sheetViews>
    <sheetView topLeftCell="A97" workbookViewId="0">
      <selection activeCell="G46" sqref="G46"/>
    </sheetView>
  </sheetViews>
  <sheetFormatPr defaultRowHeight="15"/>
  <cols>
    <col min="1" max="1" width="9.140625" style="136"/>
    <col min="2" max="2" width="12.5703125" style="136" bestFit="1" customWidth="1"/>
    <col min="3" max="3" width="9.140625" style="136"/>
    <col min="4" max="4" width="13.7109375" style="136" bestFit="1" customWidth="1"/>
    <col min="5" max="6" width="21.7109375" style="102" customWidth="1"/>
    <col min="7" max="7" width="34" style="102" customWidth="1"/>
    <col min="8" max="8" width="25.140625" style="136" customWidth="1"/>
    <col min="9" max="9" width="39.5703125" style="136" customWidth="1"/>
    <col min="10" max="10" width="17.28515625" style="136" customWidth="1"/>
  </cols>
  <sheetData>
    <row r="1" spans="1:10" ht="15.75" thickBot="1">
      <c r="E1" s="102" t="s">
        <v>120</v>
      </c>
      <c r="F1" s="102" t="s">
        <v>135</v>
      </c>
      <c r="G1" s="102" t="s">
        <v>136</v>
      </c>
      <c r="I1" s="102" t="s">
        <v>137</v>
      </c>
    </row>
    <row r="2" spans="1:10">
      <c r="A2" s="1" t="s">
        <v>0</v>
      </c>
      <c r="B2" s="19" t="s">
        <v>34</v>
      </c>
      <c r="C2" s="19"/>
      <c r="D2" s="144"/>
      <c r="E2" s="104" t="s">
        <v>189</v>
      </c>
      <c r="F2" s="104"/>
      <c r="G2" s="104" t="s">
        <v>72</v>
      </c>
      <c r="H2" s="63"/>
      <c r="I2" s="63" t="s">
        <v>72</v>
      </c>
      <c r="J2" s="63"/>
    </row>
    <row r="3" spans="1:10">
      <c r="A3" s="65"/>
      <c r="B3" s="149" t="s">
        <v>73</v>
      </c>
      <c r="C3" s="149"/>
      <c r="D3" s="144"/>
      <c r="E3" s="207"/>
      <c r="F3" s="104"/>
      <c r="G3" s="104"/>
      <c r="H3" s="63"/>
      <c r="I3" s="78">
        <f>G6</f>
        <v>150.20106465346345</v>
      </c>
      <c r="J3" s="63"/>
    </row>
    <row r="4" spans="1:10">
      <c r="A4" s="65"/>
      <c r="B4" s="149" t="s">
        <v>74</v>
      </c>
      <c r="C4" s="149"/>
      <c r="D4" s="144"/>
      <c r="E4" s="104"/>
      <c r="F4" s="104"/>
      <c r="G4" s="104"/>
      <c r="H4" s="63"/>
      <c r="I4" s="78">
        <f>G7</f>
        <v>3</v>
      </c>
      <c r="J4" s="63"/>
    </row>
    <row r="5" spans="1:10">
      <c r="A5" s="65"/>
      <c r="B5" s="80" t="s">
        <v>75</v>
      </c>
      <c r="C5" s="149"/>
      <c r="D5" s="144"/>
      <c r="E5" s="206"/>
      <c r="F5" s="104"/>
      <c r="G5" s="104"/>
      <c r="H5" s="63"/>
      <c r="I5" s="78">
        <f>G8</f>
        <v>0</v>
      </c>
      <c r="J5" s="63"/>
    </row>
    <row r="6" spans="1:10">
      <c r="A6" s="65"/>
      <c r="B6" s="149" t="s">
        <v>1</v>
      </c>
      <c r="C6" s="149"/>
      <c r="D6" s="144" t="s">
        <v>15</v>
      </c>
      <c r="E6" s="103">
        <v>529</v>
      </c>
      <c r="F6" s="137">
        <v>179</v>
      </c>
      <c r="G6" s="103">
        <f>F120</f>
        <v>150.20106465346345</v>
      </c>
      <c r="H6" s="137"/>
      <c r="I6" s="137">
        <f>I3+($E$36*1000000)*E120</f>
        <v>105364444.1508812</v>
      </c>
      <c r="J6" s="137"/>
    </row>
    <row r="7" spans="1:10">
      <c r="A7" s="65"/>
      <c r="B7" s="149" t="s">
        <v>2</v>
      </c>
      <c r="C7" s="149"/>
      <c r="D7" s="144" t="s">
        <v>15</v>
      </c>
      <c r="E7" s="103">
        <v>109</v>
      </c>
      <c r="F7" s="137">
        <v>3</v>
      </c>
      <c r="G7" s="103">
        <f>F7</f>
        <v>3</v>
      </c>
      <c r="H7" s="137"/>
      <c r="I7" s="137">
        <f>I4+($E$36*1000000)*E7</f>
        <v>20312371</v>
      </c>
      <c r="J7" s="137"/>
    </row>
    <row r="8" spans="1:10">
      <c r="A8" s="65"/>
      <c r="B8" s="149" t="s">
        <v>3</v>
      </c>
      <c r="C8" s="149"/>
      <c r="D8" s="144" t="s">
        <v>15</v>
      </c>
      <c r="E8" s="103">
        <v>62</v>
      </c>
      <c r="F8" s="137">
        <v>0</v>
      </c>
      <c r="G8" s="103">
        <f>F8</f>
        <v>0</v>
      </c>
      <c r="H8" s="137"/>
      <c r="I8" s="137">
        <f>I5+($E$36*1000000)*E8</f>
        <v>11553824</v>
      </c>
      <c r="J8" s="137"/>
    </row>
    <row r="9" spans="1:10">
      <c r="A9" s="65"/>
      <c r="B9" s="149" t="s">
        <v>8</v>
      </c>
      <c r="C9" s="149"/>
      <c r="D9" s="144" t="s">
        <v>15</v>
      </c>
      <c r="E9" s="105">
        <f>SUM(E6:E8)</f>
        <v>700</v>
      </c>
      <c r="F9" s="67">
        <v>10</v>
      </c>
      <c r="G9" s="105">
        <f>SUM(G6:G8)</f>
        <v>153.20106465346345</v>
      </c>
      <c r="H9" s="67"/>
      <c r="I9" s="67">
        <f>SUM(I6:I8)</f>
        <v>137230639.1508812</v>
      </c>
      <c r="J9" s="67"/>
    </row>
    <row r="10" spans="1:10">
      <c r="A10" s="65" t="s">
        <v>69</v>
      </c>
      <c r="B10" s="149" t="s">
        <v>70</v>
      </c>
      <c r="C10" s="149"/>
      <c r="D10" s="144" t="s">
        <v>16</v>
      </c>
      <c r="E10" s="106">
        <f>E6</f>
        <v>529</v>
      </c>
      <c r="F10" s="106"/>
      <c r="G10" s="106">
        <f>G6</f>
        <v>150.20106465346345</v>
      </c>
      <c r="H10" s="68"/>
      <c r="I10" s="68">
        <f>I6</f>
        <v>105364444.1508812</v>
      </c>
      <c r="J10" s="68"/>
    </row>
    <row r="11" spans="1:10" ht="15.75" thickBot="1">
      <c r="A11" s="2" t="s">
        <v>33</v>
      </c>
      <c r="B11" s="138" t="s">
        <v>9</v>
      </c>
      <c r="C11" s="138"/>
      <c r="D11" s="144" t="s">
        <v>17</v>
      </c>
      <c r="E11" s="192">
        <f>E6/E9</f>
        <v>0.75571428571428567</v>
      </c>
      <c r="F11" s="192">
        <f>F6/F9</f>
        <v>17.899999999999999</v>
      </c>
      <c r="G11" s="107">
        <f>G6/G9</f>
        <v>0.98041789065378937</v>
      </c>
      <c r="H11" s="69"/>
      <c r="I11" s="191">
        <f>I6/I9</f>
        <v>0.7677909598237459</v>
      </c>
      <c r="J11" s="69"/>
    </row>
    <row r="12" spans="1:10" ht="15.75" thickBot="1">
      <c r="D12" s="144"/>
    </row>
    <row r="13" spans="1:10">
      <c r="A13" s="1" t="s">
        <v>23</v>
      </c>
      <c r="B13" s="19" t="s">
        <v>4</v>
      </c>
      <c r="C13" s="19"/>
      <c r="D13" s="144" t="s">
        <v>18</v>
      </c>
      <c r="E13" s="103">
        <v>13.71</v>
      </c>
      <c r="F13" s="103">
        <v>13.71</v>
      </c>
      <c r="G13" s="103">
        <v>13.71</v>
      </c>
      <c r="H13" s="137"/>
      <c r="I13" s="103">
        <f>H13+G13</f>
        <v>13.71</v>
      </c>
      <c r="J13" s="137"/>
    </row>
    <row r="14" spans="1:10">
      <c r="A14" s="65"/>
      <c r="B14" s="149" t="s">
        <v>35</v>
      </c>
      <c r="C14" s="149"/>
      <c r="D14" s="144" t="s">
        <v>15</v>
      </c>
      <c r="E14" s="103">
        <v>0</v>
      </c>
      <c r="F14" s="103"/>
      <c r="G14" s="103">
        <v>0</v>
      </c>
      <c r="H14" s="137"/>
      <c r="I14" s="103">
        <v>0</v>
      </c>
      <c r="J14" s="137"/>
    </row>
    <row r="15" spans="1:10">
      <c r="A15" s="65"/>
      <c r="B15" s="149" t="s">
        <v>5</v>
      </c>
      <c r="C15" s="149"/>
      <c r="D15" s="144" t="s">
        <v>19</v>
      </c>
      <c r="E15" s="103">
        <v>3</v>
      </c>
      <c r="F15" s="103"/>
      <c r="G15" s="103">
        <v>2.8</v>
      </c>
      <c r="H15" s="137"/>
      <c r="I15" s="103">
        <v>2.8</v>
      </c>
      <c r="J15" s="137"/>
    </row>
    <row r="16" spans="1:10">
      <c r="A16" s="65"/>
      <c r="B16" s="149" t="s">
        <v>186</v>
      </c>
      <c r="C16" s="149"/>
      <c r="D16" s="144" t="s">
        <v>18</v>
      </c>
      <c r="E16" s="108">
        <v>1501.797</v>
      </c>
      <c r="F16" s="108"/>
      <c r="G16" s="108">
        <v>1194.923</v>
      </c>
      <c r="H16" s="137"/>
      <c r="I16" s="108">
        <v>1194.923</v>
      </c>
      <c r="J16" s="137"/>
    </row>
    <row r="17" spans="1:10">
      <c r="A17" s="65"/>
      <c r="B17" s="149" t="s">
        <v>11</v>
      </c>
      <c r="C17" s="149"/>
      <c r="D17" s="144" t="s">
        <v>15</v>
      </c>
      <c r="E17" s="103">
        <v>1908</v>
      </c>
      <c r="F17" s="103"/>
      <c r="G17" s="103">
        <v>2011</v>
      </c>
      <c r="H17" s="137"/>
      <c r="I17" s="103">
        <v>2011</v>
      </c>
      <c r="J17" s="137"/>
    </row>
    <row r="18" spans="1:10">
      <c r="A18" s="65"/>
      <c r="B18" s="149" t="s">
        <v>12</v>
      </c>
      <c r="C18" s="149"/>
      <c r="D18" s="5" t="s">
        <v>20</v>
      </c>
      <c r="E18" s="103">
        <v>5445</v>
      </c>
      <c r="F18" s="103">
        <v>0</v>
      </c>
      <c r="G18" s="103">
        <v>0</v>
      </c>
      <c r="H18" s="137"/>
      <c r="I18" s="103">
        <v>0</v>
      </c>
      <c r="J18" s="137"/>
    </row>
    <row r="19" spans="1:10">
      <c r="A19" s="65"/>
      <c r="B19" s="149" t="s">
        <v>26</v>
      </c>
      <c r="C19" s="149"/>
      <c r="D19" s="5" t="s">
        <v>20</v>
      </c>
      <c r="E19" s="103">
        <v>0</v>
      </c>
      <c r="F19" s="103"/>
      <c r="G19" s="103">
        <v>0</v>
      </c>
      <c r="H19" s="137"/>
      <c r="I19" s="103">
        <v>0</v>
      </c>
      <c r="J19" s="137"/>
    </row>
    <row r="20" spans="1:10">
      <c r="A20" s="65"/>
      <c r="B20" s="149" t="s">
        <v>21</v>
      </c>
      <c r="C20" s="149" t="s">
        <v>27</v>
      </c>
      <c r="D20" s="144" t="s">
        <v>22</v>
      </c>
      <c r="E20" s="105">
        <v>54</v>
      </c>
      <c r="F20" s="105"/>
      <c r="G20" s="105">
        <v>54</v>
      </c>
      <c r="H20" s="67"/>
      <c r="I20" s="67">
        <v>54</v>
      </c>
      <c r="J20" s="67"/>
    </row>
    <row r="21" spans="1:10" ht="15.75" thickBot="1">
      <c r="A21" s="2"/>
      <c r="B21" s="138"/>
      <c r="C21" s="138" t="s">
        <v>28</v>
      </c>
      <c r="D21" s="144" t="s">
        <v>22</v>
      </c>
      <c r="E21" s="105">
        <v>23</v>
      </c>
      <c r="F21" s="105"/>
      <c r="G21" s="105">
        <v>23</v>
      </c>
      <c r="H21" s="67"/>
      <c r="I21" s="67">
        <v>23</v>
      </c>
      <c r="J21" s="67"/>
    </row>
    <row r="22" spans="1:10" ht="15.75" thickBot="1">
      <c r="D22" s="144"/>
    </row>
    <row r="23" spans="1:10">
      <c r="A23" s="1" t="s">
        <v>66</v>
      </c>
      <c r="B23" s="19"/>
      <c r="C23" s="19"/>
      <c r="D23" s="144" t="s">
        <v>19</v>
      </c>
      <c r="E23" s="103">
        <v>0.184444</v>
      </c>
      <c r="F23" s="103">
        <v>0.86197299999999999</v>
      </c>
      <c r="G23" s="103">
        <v>0.86197299999999999</v>
      </c>
      <c r="H23" s="137"/>
      <c r="I23" s="103">
        <f>H23+G23</f>
        <v>0.86197299999999999</v>
      </c>
      <c r="J23" s="137"/>
    </row>
    <row r="24" spans="1:10">
      <c r="A24" s="65"/>
      <c r="B24" s="45"/>
      <c r="D24" s="144" t="s">
        <v>19</v>
      </c>
      <c r="E24" s="103">
        <v>0</v>
      </c>
      <c r="F24" s="103"/>
      <c r="G24" s="103">
        <v>0</v>
      </c>
      <c r="H24" s="137"/>
      <c r="I24" s="137">
        <v>0</v>
      </c>
      <c r="J24" s="137"/>
    </row>
    <row r="25" spans="1:10">
      <c r="B25" s="80"/>
      <c r="D25" s="144" t="s">
        <v>19</v>
      </c>
      <c r="E25" s="103">
        <v>0</v>
      </c>
      <c r="F25" s="103"/>
      <c r="G25" s="103">
        <v>0</v>
      </c>
      <c r="H25" s="137"/>
      <c r="I25" s="137">
        <v>0</v>
      </c>
      <c r="J25" s="137"/>
    </row>
    <row r="26" spans="1:10">
      <c r="B26" s="80"/>
      <c r="D26" s="144" t="s">
        <v>19</v>
      </c>
      <c r="E26" s="103">
        <v>0</v>
      </c>
      <c r="F26" s="103"/>
      <c r="G26" s="103">
        <v>0</v>
      </c>
      <c r="H26" s="137"/>
      <c r="I26" s="137">
        <v>0</v>
      </c>
      <c r="J26" s="137"/>
    </row>
    <row r="27" spans="1:10">
      <c r="B27" s="80"/>
      <c r="D27" s="144" t="s">
        <v>19</v>
      </c>
      <c r="E27" s="103">
        <v>0</v>
      </c>
      <c r="F27" s="103"/>
      <c r="G27" s="103">
        <v>0</v>
      </c>
      <c r="H27" s="137"/>
      <c r="I27" s="137">
        <v>0</v>
      </c>
      <c r="J27" s="137"/>
    </row>
    <row r="28" spans="1:10">
      <c r="B28" s="80"/>
      <c r="D28" s="144" t="s">
        <v>19</v>
      </c>
      <c r="E28" s="103">
        <v>0</v>
      </c>
      <c r="F28" s="103"/>
      <c r="G28" s="103">
        <v>0</v>
      </c>
      <c r="H28" s="137"/>
      <c r="I28" s="137">
        <v>0</v>
      </c>
      <c r="J28" s="137"/>
    </row>
    <row r="29" spans="1:10">
      <c r="B29" s="80"/>
      <c r="D29" s="144" t="s">
        <v>19</v>
      </c>
      <c r="E29" s="103">
        <v>0</v>
      </c>
      <c r="F29" s="103"/>
      <c r="G29" s="103">
        <v>0</v>
      </c>
      <c r="H29" s="137"/>
      <c r="I29" s="137">
        <v>0</v>
      </c>
      <c r="J29" s="137"/>
    </row>
    <row r="30" spans="1:10">
      <c r="A30" s="65"/>
      <c r="B30" s="80"/>
      <c r="D30" s="144" t="s">
        <v>19</v>
      </c>
      <c r="E30" s="103">
        <v>0</v>
      </c>
      <c r="F30" s="103"/>
      <c r="G30" s="103">
        <v>0</v>
      </c>
      <c r="H30" s="137"/>
      <c r="I30" s="137">
        <v>0</v>
      </c>
      <c r="J30" s="137"/>
    </row>
    <row r="31" spans="1:10">
      <c r="A31" s="65"/>
      <c r="B31" s="80"/>
      <c r="D31" s="144" t="s">
        <v>19</v>
      </c>
      <c r="E31" s="103">
        <v>0</v>
      </c>
      <c r="F31" s="103"/>
      <c r="G31" s="103">
        <v>0</v>
      </c>
      <c r="H31" s="137"/>
      <c r="I31" s="137">
        <v>0</v>
      </c>
      <c r="J31" s="137"/>
    </row>
    <row r="32" spans="1:10">
      <c r="A32" s="65"/>
      <c r="B32" s="80"/>
      <c r="D32" s="144" t="s">
        <v>19</v>
      </c>
      <c r="E32" s="103">
        <v>0</v>
      </c>
      <c r="F32" s="103"/>
      <c r="G32" s="103">
        <v>0</v>
      </c>
      <c r="H32" s="137"/>
      <c r="I32" s="137">
        <v>0</v>
      </c>
      <c r="J32" s="137"/>
    </row>
    <row r="33" spans="1:10">
      <c r="A33" s="65"/>
      <c r="B33" s="80"/>
      <c r="D33" s="144" t="s">
        <v>19</v>
      </c>
      <c r="E33" s="103">
        <v>0</v>
      </c>
      <c r="F33" s="103"/>
      <c r="G33" s="103">
        <v>0</v>
      </c>
      <c r="H33" s="137"/>
      <c r="I33" s="137">
        <v>0</v>
      </c>
      <c r="J33" s="137"/>
    </row>
    <row r="34" spans="1:10">
      <c r="A34" s="65"/>
      <c r="B34" s="80"/>
      <c r="D34" s="144" t="s">
        <v>19</v>
      </c>
      <c r="E34" s="103">
        <v>0</v>
      </c>
      <c r="F34" s="103"/>
      <c r="G34" s="103">
        <v>0</v>
      </c>
      <c r="H34" s="137"/>
      <c r="I34" s="137">
        <v>0</v>
      </c>
      <c r="J34" s="137"/>
    </row>
    <row r="35" spans="1:10">
      <c r="A35" s="65"/>
      <c r="B35" s="149"/>
      <c r="C35" s="149"/>
      <c r="D35" s="144" t="s">
        <v>19</v>
      </c>
      <c r="E35" s="103"/>
      <c r="F35" s="103"/>
      <c r="G35" s="103"/>
      <c r="H35" s="137"/>
      <c r="I35" s="137"/>
      <c r="J35" s="137"/>
    </row>
    <row r="36" spans="1:10" ht="15.75" thickBot="1">
      <c r="A36" s="2"/>
      <c r="B36" s="138"/>
      <c r="C36" s="138" t="s">
        <v>7</v>
      </c>
      <c r="D36" s="144" t="s">
        <v>19</v>
      </c>
      <c r="E36" s="208">
        <f>SUM(E23:E34)+E17/1000000</f>
        <v>0.18635199999999999</v>
      </c>
      <c r="F36" s="109"/>
      <c r="G36" s="208">
        <f>SUM(G23:G34)+G17/1000000</f>
        <v>0.86398399999999997</v>
      </c>
      <c r="H36" s="75"/>
      <c r="I36" s="222">
        <f>SUM(I23:I34)+I17/1000000</f>
        <v>0.86398399999999997</v>
      </c>
      <c r="J36" s="75"/>
    </row>
    <row r="37" spans="1:10" ht="15.75" thickBot="1">
      <c r="D37" s="144"/>
    </row>
    <row r="38" spans="1:10" ht="15.75" thickBot="1">
      <c r="A38" s="7" t="s">
        <v>10</v>
      </c>
      <c r="B38" s="4"/>
      <c r="C38" s="4"/>
      <c r="D38" s="144" t="s">
        <v>18</v>
      </c>
      <c r="E38" s="110">
        <v>1.4590000000000001</v>
      </c>
      <c r="F38" s="110"/>
      <c r="G38" s="110">
        <v>1.1519999999999999</v>
      </c>
      <c r="H38" s="66"/>
      <c r="I38" s="110">
        <v>1.1519999999999999</v>
      </c>
      <c r="J38" s="66"/>
    </row>
    <row r="39" spans="1:10" ht="15.75" thickBot="1">
      <c r="D39" s="144"/>
    </row>
    <row r="40" spans="1:10">
      <c r="A40" s="1" t="s">
        <v>69</v>
      </c>
      <c r="B40" s="19"/>
      <c r="C40" s="19"/>
      <c r="D40" s="144" t="s">
        <v>16</v>
      </c>
      <c r="E40" s="111">
        <f>E10</f>
        <v>529</v>
      </c>
      <c r="F40" s="111"/>
      <c r="G40" s="111">
        <f>G10</f>
        <v>150.20106465346345</v>
      </c>
      <c r="H40" s="72"/>
      <c r="I40" s="72">
        <f>I10</f>
        <v>105364444.1508812</v>
      </c>
      <c r="J40" s="72"/>
    </row>
    <row r="41" spans="1:10">
      <c r="A41" s="65" t="s">
        <v>33</v>
      </c>
      <c r="B41" s="149"/>
      <c r="C41" s="149"/>
      <c r="D41" s="144" t="s">
        <v>17</v>
      </c>
      <c r="E41" s="112">
        <f>E11</f>
        <v>0.75571428571428567</v>
      </c>
      <c r="F41" s="112"/>
      <c r="G41" s="112">
        <f>G11</f>
        <v>0.98041789065378937</v>
      </c>
      <c r="H41" s="74"/>
      <c r="I41" s="74">
        <f>I11</f>
        <v>0.7677909598237459</v>
      </c>
      <c r="J41" s="74"/>
    </row>
    <row r="42" spans="1:10">
      <c r="A42" s="65" t="s">
        <v>31</v>
      </c>
      <c r="B42" s="149"/>
      <c r="C42" s="149"/>
      <c r="D42" s="144" t="s">
        <v>18</v>
      </c>
      <c r="E42" s="112">
        <f>E13</f>
        <v>13.71</v>
      </c>
      <c r="F42" s="112"/>
      <c r="G42" s="112">
        <f>G13</f>
        <v>13.71</v>
      </c>
      <c r="H42" s="74"/>
      <c r="I42" s="74">
        <f>I13</f>
        <v>13.71</v>
      </c>
      <c r="J42" s="74"/>
    </row>
    <row r="43" spans="1:10">
      <c r="A43" s="65" t="s">
        <v>32</v>
      </c>
      <c r="B43" s="149"/>
      <c r="C43" s="149"/>
      <c r="D43" s="144" t="s">
        <v>18</v>
      </c>
      <c r="E43" s="215">
        <f>E18*E20/1000000</f>
        <v>0.29403000000000001</v>
      </c>
      <c r="F43" s="111"/>
      <c r="G43" s="111">
        <f>G18*G20/1000000</f>
        <v>0</v>
      </c>
      <c r="H43" s="72"/>
      <c r="I43" s="220">
        <f>I18*I20/1000000</f>
        <v>0</v>
      </c>
      <c r="J43" s="72"/>
    </row>
    <row r="44" spans="1:10">
      <c r="A44" s="65" t="s">
        <v>6</v>
      </c>
      <c r="B44" s="149"/>
      <c r="C44" s="149"/>
      <c r="D44" s="144" t="s">
        <v>18</v>
      </c>
      <c r="E44" s="216">
        <f>(E36*E16/E15)*E6/(E9)</f>
        <v>70.49879077798856</v>
      </c>
      <c r="F44" s="112"/>
      <c r="G44" s="112">
        <f>(G36*G16/G15)*G6/G9</f>
        <v>361.49210504235742</v>
      </c>
      <c r="H44" s="87"/>
      <c r="I44" s="221">
        <f>(I36*I16/I15)*I6/I9</f>
        <v>283.09394692307598</v>
      </c>
      <c r="J44" s="87"/>
    </row>
    <row r="45" spans="1:10" ht="15.75" thickBot="1">
      <c r="A45" s="2" t="s">
        <v>30</v>
      </c>
      <c r="B45" s="138"/>
      <c r="C45" s="138"/>
      <c r="D45" s="144" t="s">
        <v>18</v>
      </c>
      <c r="E45" s="216">
        <f>E38+E13</f>
        <v>15.169</v>
      </c>
      <c r="F45" s="112"/>
      <c r="G45" s="112">
        <f>G38+G13</f>
        <v>14.862</v>
      </c>
      <c r="H45" s="74"/>
      <c r="I45" s="221">
        <f>I38+I13</f>
        <v>14.862</v>
      </c>
      <c r="J45" s="74"/>
    </row>
    <row r="46" spans="1:10" ht="15.75" thickBot="1">
      <c r="D46" s="144"/>
      <c r="E46" s="113"/>
      <c r="F46" s="113"/>
      <c r="G46" s="113"/>
      <c r="H46" s="89"/>
      <c r="I46" s="70"/>
      <c r="J46" s="89"/>
    </row>
    <row r="47" spans="1:10">
      <c r="A47" s="1" t="s">
        <v>29</v>
      </c>
      <c r="B47" s="19"/>
      <c r="C47" s="19"/>
      <c r="D47" s="144" t="s">
        <v>16</v>
      </c>
      <c r="E47" s="217">
        <f>(E43+E38+E13+(E36*E16/E15)*E6/(E9))/(E13*POWER(10,E14))</f>
        <v>6.2700088094812951</v>
      </c>
      <c r="F47" s="114">
        <v>1.57</v>
      </c>
      <c r="G47" s="114">
        <f>(G43+G38+G13+(G36*G16/G15)*G6/G9)/(G13*POWER(10,G14))</f>
        <v>27.451065283906448</v>
      </c>
      <c r="H47" s="73"/>
      <c r="I47" s="219">
        <f>(I43+I38+I13+(I36*I16/I15)*I6/I9)/(I13*POWER(10,I14))</f>
        <v>21.73274594624916</v>
      </c>
      <c r="J47" s="73"/>
    </row>
    <row r="48" spans="1:10">
      <c r="A48" s="65" t="s">
        <v>24</v>
      </c>
      <c r="B48" s="149"/>
      <c r="C48" s="149"/>
      <c r="D48" s="144" t="s">
        <v>18</v>
      </c>
      <c r="E48" s="214">
        <f>E13*E47</f>
        <v>85.961820777988564</v>
      </c>
      <c r="F48" s="114">
        <v>10.55</v>
      </c>
      <c r="G48" s="114">
        <f>G13*G47</f>
        <v>376.35410504235745</v>
      </c>
      <c r="H48" s="73"/>
      <c r="I48" s="73">
        <f>I13*I47</f>
        <v>297.955946923076</v>
      </c>
      <c r="J48" s="73"/>
    </row>
    <row r="49" spans="1:10">
      <c r="A49" s="65" t="s">
        <v>25</v>
      </c>
      <c r="B49" s="149"/>
      <c r="C49" s="149"/>
      <c r="D49" s="144" t="s">
        <v>18</v>
      </c>
      <c r="E49" s="217">
        <f>E48-E13</f>
        <v>72.25182077798857</v>
      </c>
      <c r="F49" s="114">
        <v>10.55</v>
      </c>
      <c r="G49" s="114">
        <f>G48-G13</f>
        <v>362.64410504235747</v>
      </c>
      <c r="H49" s="87"/>
      <c r="I49" s="219">
        <f>I48-I13</f>
        <v>284.24594692307602</v>
      </c>
      <c r="J49" s="87">
        <f>I49-E49</f>
        <v>211.99412614508745</v>
      </c>
    </row>
    <row r="50" spans="1:10" ht="15.75" thickBot="1">
      <c r="A50" s="2" t="s">
        <v>14</v>
      </c>
      <c r="B50" s="138"/>
      <c r="C50" s="138"/>
      <c r="D50" s="144" t="s">
        <v>17</v>
      </c>
      <c r="E50" s="115">
        <f>E49/E16</f>
        <v>4.8110244445812959E-2</v>
      </c>
      <c r="F50" s="115">
        <v>1.2800000000000001E-2</v>
      </c>
      <c r="G50" s="115">
        <f>G49/G16</f>
        <v>0.30348742558504394</v>
      </c>
      <c r="H50" s="76"/>
      <c r="I50" s="76">
        <f>I49/I16</f>
        <v>0.23787804479709238</v>
      </c>
      <c r="J50" s="76"/>
    </row>
    <row r="51" spans="1:10" ht="15.75" thickBot="1">
      <c r="D51" s="144"/>
      <c r="E51" s="116"/>
      <c r="F51" s="116"/>
      <c r="G51" s="116"/>
      <c r="H51" s="88"/>
      <c r="I51" s="77"/>
      <c r="J51" s="88"/>
    </row>
    <row r="52" spans="1:10">
      <c r="A52" s="1" t="s">
        <v>36</v>
      </c>
      <c r="B52" s="19"/>
      <c r="C52" s="20"/>
      <c r="D52" s="8" t="s">
        <v>17</v>
      </c>
      <c r="E52" s="117">
        <f>E43/(E43+E44+E45)</f>
        <v>3.4204719879001159E-3</v>
      </c>
      <c r="F52" s="117"/>
      <c r="G52" s="117">
        <f>G43/(G43+G44+G45)</f>
        <v>0</v>
      </c>
      <c r="H52" s="79"/>
      <c r="I52" s="79">
        <f>I43/(I43+I44+I45)</f>
        <v>0</v>
      </c>
      <c r="J52" s="79"/>
    </row>
    <row r="53" spans="1:10">
      <c r="A53" s="65" t="s">
        <v>6</v>
      </c>
      <c r="B53" s="149"/>
      <c r="C53" s="150"/>
      <c r="D53" s="8" t="s">
        <v>17</v>
      </c>
      <c r="E53" s="117">
        <f>E44/(E43+E44+E45)</f>
        <v>0.82011746773098282</v>
      </c>
      <c r="F53" s="117"/>
      <c r="G53" s="117">
        <f>G44/(G43+G44+G45)</f>
        <v>0.96051059414290874</v>
      </c>
      <c r="H53" s="79"/>
      <c r="I53" s="79">
        <f>I44/(I43+I44+I45)</f>
        <v>0.95012014308330961</v>
      </c>
      <c r="J53" s="79"/>
    </row>
    <row r="54" spans="1:10" ht="15.75" thickBot="1">
      <c r="A54" s="2" t="s">
        <v>37</v>
      </c>
      <c r="B54" s="138"/>
      <c r="C54" s="139"/>
      <c r="D54" s="8" t="s">
        <v>17</v>
      </c>
      <c r="E54" s="117">
        <f>E45/(E43+E44+E45)</f>
        <v>0.17646206028111708</v>
      </c>
      <c r="F54" s="117"/>
      <c r="G54" s="117">
        <f>G45/(G43+G44+G45)</f>
        <v>3.9489405857091237E-2</v>
      </c>
      <c r="H54" s="79"/>
      <c r="I54" s="79">
        <f>I45/(I43+I44+I45)</f>
        <v>4.98798569166903E-2</v>
      </c>
      <c r="J54" s="79"/>
    </row>
    <row r="55" spans="1:10" ht="15.75" thickBot="1">
      <c r="D55" s="146"/>
    </row>
    <row r="56" spans="1:10">
      <c r="D56" s="149"/>
    </row>
    <row r="57" spans="1:10">
      <c r="A57" s="28" t="s">
        <v>71</v>
      </c>
      <c r="B57" s="147"/>
      <c r="C57" s="147"/>
      <c r="D57" s="32"/>
      <c r="E57" s="118"/>
      <c r="F57" s="118"/>
      <c r="G57" s="118"/>
      <c r="H57" s="83"/>
      <c r="I57" s="83"/>
      <c r="J57" s="83"/>
    </row>
    <row r="58" spans="1:10" ht="15.75" thickBot="1"/>
    <row r="59" spans="1:10" ht="15.75" thickBot="1">
      <c r="A59" s="143" t="s">
        <v>45</v>
      </c>
      <c r="B59" s="141"/>
      <c r="C59" s="142"/>
    </row>
    <row r="60" spans="1:10">
      <c r="A60" s="140" t="s">
        <v>38</v>
      </c>
      <c r="B60" s="149"/>
      <c r="C60" s="150"/>
      <c r="D60" s="20" t="s">
        <v>18</v>
      </c>
      <c r="E60" s="119">
        <v>0.58555400000000002</v>
      </c>
      <c r="F60" s="119"/>
      <c r="G60" s="133">
        <v>1.1818306000000001</v>
      </c>
      <c r="H60" s="86"/>
      <c r="I60" s="86">
        <v>1.1818306000000001</v>
      </c>
      <c r="J60" s="86"/>
    </row>
    <row r="61" spans="1:10">
      <c r="A61" s="140" t="s">
        <v>39</v>
      </c>
      <c r="B61" s="149"/>
      <c r="C61" s="150"/>
      <c r="D61" s="150" t="s">
        <v>18</v>
      </c>
      <c r="E61" s="119">
        <v>0.247</v>
      </c>
      <c r="F61" s="119"/>
      <c r="G61" s="133">
        <v>0.96474300000000002</v>
      </c>
      <c r="H61" s="86"/>
      <c r="I61" s="86">
        <v>0.96474300000000002</v>
      </c>
      <c r="J61" s="86"/>
    </row>
    <row r="62" spans="1:10">
      <c r="A62" s="140" t="s">
        <v>40</v>
      </c>
      <c r="B62" s="149"/>
      <c r="C62" s="150"/>
      <c r="D62" s="150" t="s">
        <v>18</v>
      </c>
      <c r="E62" s="120">
        <v>80.654725999999997</v>
      </c>
      <c r="F62" s="120"/>
      <c r="G62" s="122">
        <v>378.6</v>
      </c>
      <c r="H62" s="54"/>
      <c r="I62" s="54">
        <v>378.6</v>
      </c>
      <c r="J62" s="54"/>
    </row>
    <row r="63" spans="1:10">
      <c r="A63" s="140" t="s">
        <v>41</v>
      </c>
      <c r="B63" s="149"/>
      <c r="C63" s="150"/>
      <c r="D63" s="150" t="s">
        <v>18</v>
      </c>
      <c r="E63" s="121">
        <v>79.82217</v>
      </c>
      <c r="F63" s="121"/>
      <c r="G63" s="124">
        <v>376.858</v>
      </c>
      <c r="H63" s="52"/>
      <c r="I63" s="52">
        <v>376.858</v>
      </c>
      <c r="J63" s="52"/>
    </row>
    <row r="64" spans="1:10">
      <c r="A64" s="140" t="s">
        <v>42</v>
      </c>
      <c r="B64" s="149"/>
      <c r="C64" s="150"/>
      <c r="D64" s="150" t="s">
        <v>18</v>
      </c>
      <c r="E64" s="122">
        <v>8.0262E-2</v>
      </c>
      <c r="F64" s="122"/>
      <c r="G64" s="122">
        <v>8.0262E-2</v>
      </c>
      <c r="H64" s="54"/>
      <c r="I64" s="54">
        <v>8.0262E-2</v>
      </c>
      <c r="J64" s="54"/>
    </row>
    <row r="65" spans="1:10">
      <c r="A65" s="140" t="s">
        <v>67</v>
      </c>
      <c r="B65" s="149"/>
      <c r="C65" s="150"/>
      <c r="D65" s="150" t="s">
        <v>18</v>
      </c>
      <c r="E65" s="103">
        <v>0</v>
      </c>
      <c r="F65" s="103"/>
      <c r="G65" s="103">
        <v>0</v>
      </c>
      <c r="H65" s="137"/>
      <c r="I65" s="137">
        <v>0</v>
      </c>
      <c r="J65" s="137"/>
    </row>
    <row r="66" spans="1:10">
      <c r="A66" s="140" t="s">
        <v>60</v>
      </c>
      <c r="B66" s="149"/>
      <c r="C66" s="150"/>
      <c r="D66" s="150" t="s">
        <v>15</v>
      </c>
      <c r="E66" s="103">
        <v>7</v>
      </c>
      <c r="F66" s="103"/>
      <c r="G66" s="103">
        <v>7</v>
      </c>
      <c r="H66" s="137"/>
      <c r="I66" s="137">
        <v>7</v>
      </c>
      <c r="J66" s="137"/>
    </row>
    <row r="67" spans="1:10">
      <c r="A67" s="140" t="s">
        <v>59</v>
      </c>
      <c r="B67" s="149"/>
      <c r="C67" s="150"/>
      <c r="D67" s="150" t="s">
        <v>15</v>
      </c>
      <c r="E67" s="103">
        <v>27</v>
      </c>
      <c r="F67" s="103"/>
      <c r="G67" s="103">
        <v>63</v>
      </c>
      <c r="H67" s="137"/>
      <c r="I67" s="137">
        <v>63</v>
      </c>
      <c r="J67" s="137"/>
    </row>
    <row r="68" spans="1:10">
      <c r="A68" s="17" t="s">
        <v>61</v>
      </c>
      <c r="B68" s="149"/>
      <c r="C68" s="150"/>
      <c r="D68" s="150" t="s">
        <v>15</v>
      </c>
      <c r="E68" s="123">
        <v>34</v>
      </c>
      <c r="F68" s="123"/>
      <c r="G68" s="123"/>
      <c r="H68" s="53"/>
      <c r="I68" s="53"/>
      <c r="J68" s="53"/>
    </row>
    <row r="69" spans="1:10" ht="15.75" thickBot="1">
      <c r="A69" s="84" t="s">
        <v>44</v>
      </c>
      <c r="B69" s="138"/>
      <c r="C69" s="139"/>
      <c r="D69" s="150" t="s">
        <v>15</v>
      </c>
      <c r="E69" s="123">
        <f>E17</f>
        <v>1908</v>
      </c>
      <c r="F69" s="123"/>
      <c r="G69" s="123">
        <f>G17</f>
        <v>2011</v>
      </c>
      <c r="H69" s="53"/>
      <c r="I69" s="53">
        <f>I17</f>
        <v>2011</v>
      </c>
      <c r="J69" s="53"/>
    </row>
    <row r="70" spans="1:10" ht="15.75" thickBot="1">
      <c r="A70" s="10"/>
      <c r="D70" s="144"/>
    </row>
    <row r="71" spans="1:10">
      <c r="A71" s="16" t="s">
        <v>46</v>
      </c>
      <c r="B71" s="26"/>
      <c r="C71" s="27"/>
      <c r="D71" s="144"/>
    </row>
    <row r="72" spans="1:10">
      <c r="A72" s="140" t="s">
        <v>38</v>
      </c>
      <c r="B72" s="149"/>
      <c r="C72" s="150"/>
      <c r="D72" s="144" t="s">
        <v>18</v>
      </c>
      <c r="E72" s="119">
        <v>0.51241899999999996</v>
      </c>
      <c r="F72" s="119"/>
      <c r="G72" s="134">
        <v>1.0263485000000001</v>
      </c>
      <c r="H72" s="85"/>
      <c r="I72" s="85">
        <v>1.0263485000000001</v>
      </c>
      <c r="J72" s="85"/>
    </row>
    <row r="73" spans="1:10">
      <c r="A73" s="140" t="s">
        <v>39</v>
      </c>
      <c r="B73" s="149"/>
      <c r="C73" s="150"/>
      <c r="D73" s="144" t="s">
        <v>18</v>
      </c>
      <c r="E73" s="119">
        <v>248000</v>
      </c>
      <c r="F73" s="119"/>
      <c r="G73" s="134">
        <v>0.96448999999999996</v>
      </c>
      <c r="H73" s="85"/>
      <c r="I73" s="85">
        <v>0.96448999999999996</v>
      </c>
      <c r="J73" s="85"/>
    </row>
    <row r="74" spans="1:10">
      <c r="A74" s="140" t="s">
        <v>40</v>
      </c>
      <c r="B74" s="149"/>
      <c r="C74" s="150"/>
      <c r="D74" s="144" t="s">
        <v>18</v>
      </c>
      <c r="E74" s="120">
        <v>80.399150000000006</v>
      </c>
      <c r="F74" s="120"/>
      <c r="G74" s="122">
        <v>367</v>
      </c>
      <c r="H74" s="54"/>
      <c r="I74" s="54">
        <v>367</v>
      </c>
      <c r="J74" s="54"/>
    </row>
    <row r="75" spans="1:10">
      <c r="A75" s="140" t="s">
        <v>41</v>
      </c>
      <c r="B75" s="149"/>
      <c r="C75" s="150"/>
      <c r="D75" s="144" t="s">
        <v>18</v>
      </c>
      <c r="E75" s="121">
        <v>78.252579999999995</v>
      </c>
      <c r="F75" s="121"/>
      <c r="G75" s="124">
        <v>365.60599999999999</v>
      </c>
      <c r="H75" s="52"/>
      <c r="I75" s="52">
        <v>365.60599999999999</v>
      </c>
      <c r="J75" s="52"/>
    </row>
    <row r="76" spans="1:10">
      <c r="A76" s="140" t="s">
        <v>42</v>
      </c>
      <c r="B76" s="149"/>
      <c r="C76" s="150"/>
      <c r="D76" s="144" t="s">
        <v>18</v>
      </c>
      <c r="E76" s="122">
        <v>0</v>
      </c>
      <c r="F76" s="122"/>
      <c r="G76" s="122">
        <v>0</v>
      </c>
      <c r="H76" s="54"/>
      <c r="I76" s="54">
        <v>0</v>
      </c>
      <c r="J76" s="54"/>
    </row>
    <row r="77" spans="1:10">
      <c r="A77" s="140" t="s">
        <v>68</v>
      </c>
      <c r="B77" s="149"/>
      <c r="C77" s="150"/>
      <c r="D77" s="144" t="s">
        <v>18</v>
      </c>
      <c r="E77" s="122">
        <v>0</v>
      </c>
      <c r="F77" s="122"/>
      <c r="G77" s="122">
        <v>0</v>
      </c>
      <c r="H77" s="54"/>
      <c r="I77" s="54">
        <v>0</v>
      </c>
      <c r="J77" s="54"/>
    </row>
    <row r="78" spans="1:10">
      <c r="A78" s="140" t="s">
        <v>60</v>
      </c>
      <c r="B78" s="149"/>
      <c r="C78" s="150"/>
      <c r="D78" s="144" t="s">
        <v>15</v>
      </c>
      <c r="E78" s="122">
        <v>7</v>
      </c>
      <c r="F78" s="122"/>
      <c r="G78" s="122">
        <v>6</v>
      </c>
      <c r="H78" s="54"/>
      <c r="I78" s="54">
        <v>6</v>
      </c>
      <c r="J78" s="54"/>
    </row>
    <row r="79" spans="1:10">
      <c r="A79" s="140" t="s">
        <v>62</v>
      </c>
      <c r="B79" s="149"/>
      <c r="C79" s="150"/>
      <c r="D79" s="18" t="s">
        <v>15</v>
      </c>
      <c r="E79" s="122">
        <v>27</v>
      </c>
      <c r="F79" s="122"/>
      <c r="G79" s="122">
        <v>63</v>
      </c>
      <c r="H79" s="54"/>
      <c r="I79" s="54">
        <v>63</v>
      </c>
      <c r="J79" s="54"/>
    </row>
    <row r="80" spans="1:10">
      <c r="A80" s="9" t="s">
        <v>43</v>
      </c>
      <c r="B80" s="149"/>
      <c r="C80" s="150"/>
      <c r="D80" s="144" t="s">
        <v>15</v>
      </c>
      <c r="E80" s="124">
        <v>34</v>
      </c>
      <c r="F80" s="124"/>
      <c r="G80" s="124">
        <v>69</v>
      </c>
      <c r="H80" s="52"/>
      <c r="I80" s="52">
        <v>69</v>
      </c>
      <c r="J80" s="52"/>
    </row>
    <row r="81" spans="1:10" ht="15.75" thickBot="1">
      <c r="A81" s="84" t="s">
        <v>44</v>
      </c>
      <c r="B81" s="138"/>
      <c r="C81" s="139"/>
      <c r="D81" s="144" t="s">
        <v>15</v>
      </c>
      <c r="E81" s="122">
        <v>2011</v>
      </c>
      <c r="F81" s="122"/>
      <c r="G81" s="122">
        <v>6447</v>
      </c>
      <c r="H81" s="54"/>
      <c r="I81" s="54">
        <v>6447</v>
      </c>
      <c r="J81" s="54"/>
    </row>
    <row r="82" spans="1:10" ht="15.75" thickBot="1">
      <c r="D82" s="146"/>
    </row>
    <row r="83" spans="1:10" ht="15.75" thickBot="1">
      <c r="A83" s="21"/>
    </row>
    <row r="84" spans="1:10">
      <c r="A84" s="40" t="s">
        <v>51</v>
      </c>
      <c r="B84" s="19"/>
      <c r="C84" s="20"/>
      <c r="D84" s="20" t="s">
        <v>18</v>
      </c>
      <c r="E84" s="125">
        <f>E63/(E69-E68)</f>
        <v>4.2594541088580573E-2</v>
      </c>
      <c r="F84" s="125"/>
      <c r="G84" s="125">
        <f>G63/(G69-G68)</f>
        <v>0.18739830929885629</v>
      </c>
      <c r="H84" s="55"/>
      <c r="I84" s="55">
        <f>I63/(I69-I68)</f>
        <v>0.18739830929885629</v>
      </c>
      <c r="J84" s="55"/>
    </row>
    <row r="85" spans="1:10">
      <c r="A85" s="148" t="s">
        <v>52</v>
      </c>
      <c r="B85" s="149"/>
      <c r="C85" s="150"/>
      <c r="D85" s="150" t="s">
        <v>18</v>
      </c>
      <c r="E85" s="126">
        <f>E75/(E81-E80)</f>
        <v>3.9581476985331307E-2</v>
      </c>
      <c r="F85" s="126"/>
      <c r="G85" s="126">
        <f>G75/(G81-G80)</f>
        <v>5.7322985261837565E-2</v>
      </c>
      <c r="H85" s="62"/>
      <c r="I85" s="62">
        <f>I75/(I81-I80)</f>
        <v>5.7322985261837565E-2</v>
      </c>
      <c r="J85" s="62"/>
    </row>
    <row r="86" spans="1:10">
      <c r="A86" s="148" t="s">
        <v>53</v>
      </c>
      <c r="B86" s="149"/>
      <c r="C86" s="150"/>
      <c r="D86" s="150" t="s">
        <v>18</v>
      </c>
      <c r="E86" s="125">
        <f>IF(E68=0,0,(E60+E61)/E68)</f>
        <v>2.4486882352941178E-2</v>
      </c>
      <c r="F86" s="125"/>
      <c r="G86" s="125">
        <f>IF(G68=0,0,(G60+G61)/G68)</f>
        <v>0</v>
      </c>
      <c r="H86" s="55"/>
      <c r="I86" s="55">
        <f>IF(I68=0,0,(I60+I61)/I68)</f>
        <v>0</v>
      </c>
      <c r="J86" s="55"/>
    </row>
    <row r="87" spans="1:10" ht="15.75" thickBot="1">
      <c r="A87" s="42" t="s">
        <v>54</v>
      </c>
      <c r="B87" s="138"/>
      <c r="C87" s="139"/>
      <c r="D87" s="139" t="s">
        <v>18</v>
      </c>
      <c r="E87" s="125">
        <f>IF(E80=0,0,(E72+E73)/E80)</f>
        <v>7294.1327182058822</v>
      </c>
      <c r="F87" s="125"/>
      <c r="G87" s="125">
        <f>IF(G80=0,0,(G72+G73)/G80)</f>
        <v>2.8852731884057972E-2</v>
      </c>
      <c r="H87" s="55"/>
      <c r="I87" s="55">
        <f>IF(I80=0,0,(I72+I73)/I80)</f>
        <v>2.8852731884057972E-2</v>
      </c>
      <c r="J87" s="55"/>
    </row>
    <row r="88" spans="1:10" ht="15.75" thickBot="1">
      <c r="A88" s="49"/>
    </row>
    <row r="89" spans="1:10">
      <c r="A89" s="40" t="s">
        <v>55</v>
      </c>
      <c r="B89" s="30"/>
      <c r="C89" s="20"/>
      <c r="D89" s="20" t="s">
        <v>16</v>
      </c>
      <c r="E89" s="109">
        <f>IF(E77=0,0,E65/E77)</f>
        <v>0</v>
      </c>
      <c r="F89" s="109"/>
      <c r="G89" s="109">
        <f>IF(G77=0,0,G65/G77)</f>
        <v>0</v>
      </c>
      <c r="H89" s="75"/>
      <c r="I89" s="75">
        <f>IF(I77=0,0,I65/I77)</f>
        <v>0</v>
      </c>
      <c r="J89" s="75"/>
    </row>
    <row r="90" spans="1:10">
      <c r="A90" s="148" t="s">
        <v>56</v>
      </c>
      <c r="B90" s="25"/>
      <c r="C90" s="150"/>
      <c r="D90" s="150" t="s">
        <v>16</v>
      </c>
      <c r="E90" s="126">
        <f>IF(E87=0,0,E86/E87)</f>
        <v>3.357065644257176E-6</v>
      </c>
      <c r="F90" s="126"/>
      <c r="G90" s="126">
        <f>IF(G87=0,0,G86/G87)</f>
        <v>0</v>
      </c>
      <c r="H90" s="62"/>
      <c r="I90" s="62">
        <f>IF(I87=0,0,I86/I87)</f>
        <v>0</v>
      </c>
      <c r="J90" s="62"/>
    </row>
    <row r="91" spans="1:10">
      <c r="A91" s="148" t="s">
        <v>57</v>
      </c>
      <c r="B91" s="25"/>
      <c r="C91" s="150"/>
      <c r="D91" s="150" t="s">
        <v>16</v>
      </c>
      <c r="E91" s="126">
        <f>IF(E76=0,0,E64/E76)</f>
        <v>0</v>
      </c>
      <c r="F91" s="126"/>
      <c r="G91" s="126">
        <f>IF(G76=0,0,G64/G76)</f>
        <v>0</v>
      </c>
      <c r="H91" s="62"/>
      <c r="I91" s="62">
        <f>IF(I76=0,0,I64/I76)</f>
        <v>0</v>
      </c>
      <c r="J91" s="62"/>
    </row>
    <row r="92" spans="1:10" ht="15.75" thickBot="1">
      <c r="A92" s="42" t="s">
        <v>58</v>
      </c>
      <c r="B92" s="31"/>
      <c r="C92" s="139"/>
      <c r="D92" s="139" t="s">
        <v>16</v>
      </c>
      <c r="E92" s="125">
        <f>IF(E85=0,0,E84/E85)</f>
        <v>1.0761230841478173</v>
      </c>
      <c r="F92" s="125"/>
      <c r="G92" s="125">
        <f>IF(G85=0,0,G84/G85)</f>
        <v>3.2691652125733861</v>
      </c>
      <c r="H92" s="55"/>
      <c r="I92" s="55">
        <f>IF(I85=0,0,I84/I85)</f>
        <v>3.2691652125733861</v>
      </c>
      <c r="J92" s="55"/>
    </row>
    <row r="93" spans="1:10" ht="15.75" thickBot="1">
      <c r="A93" s="21"/>
    </row>
    <row r="94" spans="1:10" ht="15.75" thickBot="1">
      <c r="A94" s="21"/>
      <c r="D94" s="145"/>
    </row>
    <row r="95" spans="1:10">
      <c r="A95" s="33" t="s">
        <v>63</v>
      </c>
      <c r="B95" s="43"/>
      <c r="C95" s="43"/>
      <c r="D95" s="144" t="s">
        <v>18</v>
      </c>
      <c r="E95" s="127">
        <f>E65*(E89-E91)/2</f>
        <v>0</v>
      </c>
      <c r="F95" s="127"/>
      <c r="G95" s="127">
        <f>G65*(G89-G91)/2</f>
        <v>0</v>
      </c>
      <c r="H95" s="56"/>
      <c r="I95" s="56">
        <f>I65*(I89-I91)/2</f>
        <v>0</v>
      </c>
      <c r="J95" s="56"/>
    </row>
    <row r="96" spans="1:10" ht="15.75" thickBot="1">
      <c r="A96" s="34" t="s">
        <v>64</v>
      </c>
      <c r="B96" s="44"/>
      <c r="C96" s="44"/>
      <c r="D96" s="144" t="s">
        <v>18</v>
      </c>
      <c r="E96" s="128">
        <f>(E60+E61)*(E90-E92)/2</f>
        <v>-0.4479638916305857</v>
      </c>
      <c r="F96" s="128"/>
      <c r="G96" s="128">
        <f>(G60+G61)*(G90-G92)/2</f>
        <v>-3.5087518696742093</v>
      </c>
      <c r="H96" s="57"/>
      <c r="I96" s="57">
        <f>(I60+I61)*(I90-I92)/2</f>
        <v>-3.5087518696742093</v>
      </c>
      <c r="J96" s="57"/>
    </row>
    <row r="97" spans="1:10">
      <c r="D97" s="144"/>
    </row>
    <row r="98" spans="1:10" ht="15.75" thickBot="1">
      <c r="A98" s="38" t="s">
        <v>65</v>
      </c>
      <c r="B98" s="39"/>
      <c r="C98" s="39"/>
      <c r="D98" s="144"/>
      <c r="E98" s="118"/>
      <c r="F98" s="118"/>
      <c r="G98" s="118"/>
      <c r="H98" s="83"/>
      <c r="I98" s="83"/>
      <c r="J98" s="83"/>
    </row>
    <row r="99" spans="1:10">
      <c r="A99" s="35" t="s">
        <v>47</v>
      </c>
      <c r="B99" s="19"/>
      <c r="C99" s="20"/>
      <c r="D99" s="144" t="s">
        <v>16</v>
      </c>
      <c r="E99" s="129">
        <f>E100/E42</f>
        <v>6.3026830539474208</v>
      </c>
      <c r="F99" s="129"/>
      <c r="G99" s="129">
        <f>G100/G42</f>
        <v>27.706991751424624</v>
      </c>
      <c r="H99" s="58"/>
      <c r="I99" s="58">
        <f>I100/I42</f>
        <v>21.988672413767336</v>
      </c>
      <c r="J99" s="58"/>
    </row>
    <row r="100" spans="1:10">
      <c r="A100" s="36" t="s">
        <v>48</v>
      </c>
      <c r="B100" s="149"/>
      <c r="C100" s="150"/>
      <c r="D100" s="144" t="s">
        <v>18</v>
      </c>
      <c r="E100" s="130">
        <f>E42+E101</f>
        <v>86.409784669619143</v>
      </c>
      <c r="F100" s="130"/>
      <c r="G100" s="130">
        <f>G42+G101</f>
        <v>379.86285691203165</v>
      </c>
      <c r="H100" s="59"/>
      <c r="I100" s="59">
        <f>I42+I101</f>
        <v>301.4646987927502</v>
      </c>
      <c r="J100" s="59"/>
    </row>
    <row r="101" spans="1:10">
      <c r="A101" s="36" t="s">
        <v>49</v>
      </c>
      <c r="B101" s="149"/>
      <c r="C101" s="150"/>
      <c r="D101" s="144" t="s">
        <v>18</v>
      </c>
      <c r="E101" s="131">
        <f>E49-(E95+E96)</f>
        <v>72.699784669619149</v>
      </c>
      <c r="F101" s="131"/>
      <c r="G101" s="131">
        <f>G49-(G95+G96)</f>
        <v>366.15285691203167</v>
      </c>
      <c r="H101" s="60"/>
      <c r="I101" s="60">
        <f>I49-(I95+I96)</f>
        <v>287.75469879275022</v>
      </c>
      <c r="J101" s="60"/>
    </row>
    <row r="102" spans="1:10" ht="15.75" thickBot="1">
      <c r="A102" s="37" t="s">
        <v>50</v>
      </c>
      <c r="B102" s="138"/>
      <c r="C102" s="139"/>
      <c r="D102" s="144" t="s">
        <v>17</v>
      </c>
      <c r="E102" s="132">
        <f>E101/E16</f>
        <v>4.8408529694505417E-2</v>
      </c>
      <c r="F102" s="132"/>
      <c r="G102" s="132">
        <f>G101/G16</f>
        <v>0.30642380882452819</v>
      </c>
      <c r="H102" s="61"/>
      <c r="I102" s="61">
        <f>I101/I16</f>
        <v>0.2408144280365766</v>
      </c>
      <c r="J102" s="61"/>
    </row>
    <row r="103" spans="1:10" ht="15.75" thickBot="1">
      <c r="D103" s="146"/>
    </row>
    <row r="105" spans="1:10" ht="15.75" thickBot="1">
      <c r="A105" s="168" t="s">
        <v>76</v>
      </c>
      <c r="B105" s="147"/>
      <c r="C105" s="147"/>
      <c r="E105" s="136"/>
      <c r="F105" s="136"/>
      <c r="G105" s="136"/>
    </row>
    <row r="106" spans="1:10" ht="15.75" thickBot="1">
      <c r="D106" s="145"/>
      <c r="E106" s="136"/>
      <c r="F106" s="136"/>
      <c r="G106" s="136"/>
    </row>
    <row r="107" spans="1:10">
      <c r="A107" s="143" t="s">
        <v>77</v>
      </c>
      <c r="B107" s="141"/>
      <c r="C107" s="141"/>
      <c r="D107" s="144"/>
      <c r="E107" s="136"/>
      <c r="F107" s="136"/>
      <c r="G107" s="136"/>
    </row>
    <row r="108" spans="1:10">
      <c r="A108" s="157" t="s">
        <v>78</v>
      </c>
      <c r="B108" s="158"/>
      <c r="C108" s="158"/>
      <c r="D108" s="144" t="s">
        <v>17</v>
      </c>
      <c r="E108" s="162">
        <v>0.1</v>
      </c>
      <c r="F108" s="162">
        <v>0.1</v>
      </c>
      <c r="G108" s="162">
        <v>0.1</v>
      </c>
      <c r="H108" s="153"/>
      <c r="I108" s="151"/>
    </row>
    <row r="109" spans="1:10">
      <c r="A109" s="157" t="s">
        <v>79</v>
      </c>
      <c r="B109" s="158"/>
      <c r="C109" s="158"/>
      <c r="D109" s="144"/>
      <c r="E109" s="160">
        <f>1.65*1.65*0.5*(1-0.5)/(E108*E108)</f>
        <v>68.062499999999986</v>
      </c>
      <c r="F109" s="160">
        <f>1.65*1.65*0.5*(1-0.5)/(F108*F108)</f>
        <v>68.062499999999986</v>
      </c>
      <c r="G109" s="160">
        <f>1.65*1.65*0.5*(1-0.5)/(G108*G108)</f>
        <v>68.062499999999986</v>
      </c>
      <c r="H109" s="161"/>
      <c r="I109" s="166"/>
      <c r="J109" s="167"/>
    </row>
    <row r="110" spans="1:10">
      <c r="A110" s="140" t="s">
        <v>80</v>
      </c>
      <c r="B110" s="149"/>
      <c r="C110" s="149"/>
      <c r="D110" s="144" t="s">
        <v>15</v>
      </c>
      <c r="E110" s="152">
        <f>E9</f>
        <v>700</v>
      </c>
      <c r="F110" s="152">
        <f>F9</f>
        <v>10</v>
      </c>
      <c r="G110" s="152"/>
      <c r="H110" s="154"/>
      <c r="I110" s="166"/>
      <c r="J110" s="167"/>
    </row>
    <row r="111" spans="1:10">
      <c r="A111" s="140" t="s">
        <v>81</v>
      </c>
      <c r="B111" s="149"/>
      <c r="C111" s="149"/>
      <c r="D111" s="144"/>
      <c r="E111" s="165" t="str">
        <f>IF(E110&gt;E109,"NO","YES")</f>
        <v>NO</v>
      </c>
      <c r="F111" s="165" t="str">
        <f>IF(F110&gt;F109,"NO","YES")</f>
        <v>YES</v>
      </c>
      <c r="G111" s="165"/>
      <c r="H111" s="156"/>
      <c r="I111" s="166" t="s">
        <v>82</v>
      </c>
      <c r="J111" s="167"/>
    </row>
    <row r="112" spans="1:10">
      <c r="A112" s="140" t="s">
        <v>83</v>
      </c>
      <c r="B112" s="149"/>
      <c r="C112" s="149"/>
      <c r="D112" s="144" t="s">
        <v>15</v>
      </c>
      <c r="E112" s="152">
        <v>3000000</v>
      </c>
      <c r="F112" s="152">
        <v>861973</v>
      </c>
      <c r="G112" s="152"/>
      <c r="H112" s="154"/>
      <c r="I112" s="166"/>
      <c r="J112" s="167"/>
    </row>
    <row r="113" spans="1:10">
      <c r="A113" s="148" t="s">
        <v>84</v>
      </c>
      <c r="B113" s="149"/>
      <c r="C113" s="149"/>
      <c r="D113" s="144"/>
      <c r="E113" s="172">
        <f>E109/(1+(1.65*1.65*0.5*(1-0.5))/(E108*E108*E112))</f>
        <v>68.060955867063754</v>
      </c>
      <c r="F113" s="172">
        <f>F109/(1+(1.65*1.65*0.5*(1-0.5))/(F108*F108*F112))</f>
        <v>68.057126121529734</v>
      </c>
      <c r="G113" s="172"/>
      <c r="H113" s="161"/>
      <c r="I113" s="166"/>
      <c r="J113" s="167"/>
    </row>
    <row r="114" spans="1:10">
      <c r="A114" s="148" t="s">
        <v>85</v>
      </c>
      <c r="B114" s="149"/>
      <c r="C114" s="149"/>
      <c r="D114" s="144"/>
      <c r="E114" s="165" t="str">
        <f>IF(E110&gt;E113,"NO","YES")</f>
        <v>NO</v>
      </c>
      <c r="F114" s="165" t="str">
        <f>IF(F110&gt;F113,"NO","YES")</f>
        <v>YES</v>
      </c>
      <c r="G114" s="165"/>
      <c r="H114" s="156"/>
      <c r="I114" s="166" t="s">
        <v>86</v>
      </c>
      <c r="J114" s="167"/>
    </row>
    <row r="115" spans="1:10">
      <c r="A115" s="148" t="s">
        <v>87</v>
      </c>
      <c r="B115" s="149"/>
      <c r="C115" s="149"/>
      <c r="D115" s="144" t="s">
        <v>17</v>
      </c>
      <c r="E115" s="163">
        <f>SQRT((1.65*1.65)*0.5*(1-0.5)/E110)</f>
        <v>3.1182069023261247E-2</v>
      </c>
      <c r="F115" s="163">
        <f>SQRT((1.65*1.65)*0.5*(1-0.5)/F110)</f>
        <v>0.2608879069638913</v>
      </c>
      <c r="G115" s="163"/>
      <c r="H115" s="161"/>
      <c r="I115" s="166"/>
      <c r="J115" s="167"/>
    </row>
    <row r="116" spans="1:10">
      <c r="A116" s="148" t="s">
        <v>88</v>
      </c>
      <c r="B116" s="149"/>
      <c r="C116" s="149"/>
      <c r="D116" s="144" t="s">
        <v>15</v>
      </c>
      <c r="E116" s="164">
        <f>E6</f>
        <v>529</v>
      </c>
      <c r="F116" s="164">
        <f>F6</f>
        <v>179</v>
      </c>
      <c r="G116" s="164"/>
      <c r="H116" s="161"/>
      <c r="I116" s="166"/>
      <c r="J116" s="167"/>
    </row>
    <row r="117" spans="1:10" ht="15.75" thickBot="1">
      <c r="A117" s="197" t="s">
        <v>89</v>
      </c>
      <c r="B117" s="198"/>
      <c r="C117" s="198"/>
      <c r="D117" s="199" t="s">
        <v>15</v>
      </c>
      <c r="E117" s="200">
        <f>(E115-E108)*E6</f>
        <v>-36.404685486694802</v>
      </c>
      <c r="F117" s="200">
        <f>(F115-F108)*F6</f>
        <v>28.798935346536542</v>
      </c>
      <c r="G117" s="200"/>
      <c r="H117" s="201"/>
      <c r="I117" s="202" t="s">
        <v>90</v>
      </c>
      <c r="J117" s="203"/>
    </row>
    <row r="118" spans="1:10" ht="15.75" thickBot="1">
      <c r="A118" s="148" t="s">
        <v>182</v>
      </c>
      <c r="D118" s="146" t="s">
        <v>15</v>
      </c>
      <c r="E118" s="136">
        <f>E6/E9*(1-(E115-E108))</f>
        <v>0.80772097926670683</v>
      </c>
      <c r="F118" s="136">
        <f>F6/F9*(1-(F115-F108))</f>
        <v>15.020106465346345</v>
      </c>
      <c r="G118" s="136"/>
    </row>
    <row r="119" spans="1:10">
      <c r="A119" s="148" t="s">
        <v>183</v>
      </c>
      <c r="E119" s="102">
        <f>E6/E9</f>
        <v>0.75571428571428567</v>
      </c>
      <c r="F119" s="102">
        <f>F6/F9</f>
        <v>17.899999999999999</v>
      </c>
    </row>
    <row r="120" spans="1:10">
      <c r="A120" s="148" t="s">
        <v>89</v>
      </c>
      <c r="E120" s="102">
        <f>E118*E9</f>
        <v>565.4046854866948</v>
      </c>
      <c r="F120" s="102">
        <f>F118*F9</f>
        <v>150.20106465346345</v>
      </c>
    </row>
    <row r="122" spans="1:10" ht="15.75" thickBot="1">
      <c r="A122" s="168" t="s">
        <v>91</v>
      </c>
      <c r="B122" s="147"/>
      <c r="C122" s="147"/>
      <c r="E122" s="136"/>
      <c r="F122" s="136"/>
      <c r="G122" s="136"/>
    </row>
    <row r="123" spans="1:10" ht="15.75" thickBot="1">
      <c r="D123" s="145"/>
      <c r="E123" s="136"/>
      <c r="F123" s="136"/>
      <c r="G123" s="136"/>
    </row>
    <row r="124" spans="1:10">
      <c r="A124" s="143" t="s">
        <v>77</v>
      </c>
      <c r="B124" s="141"/>
      <c r="C124" s="142"/>
      <c r="D124" s="144"/>
      <c r="E124" s="136"/>
      <c r="F124" s="136"/>
      <c r="G124" s="136"/>
    </row>
    <row r="125" spans="1:10">
      <c r="A125" s="157" t="s">
        <v>92</v>
      </c>
      <c r="B125" s="158"/>
      <c r="C125" s="159"/>
      <c r="D125" s="144" t="s">
        <v>18</v>
      </c>
      <c r="E125" s="135">
        <f>E49</f>
        <v>72.25182077798857</v>
      </c>
      <c r="F125" s="218">
        <f>I49</f>
        <v>284.24594692307602</v>
      </c>
      <c r="G125" s="135"/>
      <c r="H125" s="135"/>
      <c r="I125" s="166"/>
      <c r="J125" s="167"/>
    </row>
    <row r="126" spans="1:10">
      <c r="A126" s="140" t="s">
        <v>93</v>
      </c>
      <c r="B126" s="149"/>
      <c r="C126" s="150"/>
      <c r="D126" s="144" t="s">
        <v>17</v>
      </c>
      <c r="E126" s="169">
        <v>1</v>
      </c>
      <c r="F126" s="169">
        <v>0.1</v>
      </c>
      <c r="G126" s="169"/>
      <c r="H126" s="169"/>
      <c r="I126" s="166"/>
      <c r="J126" s="167"/>
    </row>
    <row r="127" spans="1:10">
      <c r="A127" s="140" t="s">
        <v>94</v>
      </c>
      <c r="B127" s="149"/>
      <c r="C127" s="150"/>
      <c r="D127" s="144"/>
      <c r="E127" s="165" t="str">
        <f>IF(E126&gt;0,"Yes","No")</f>
        <v>Yes</v>
      </c>
      <c r="F127" s="165" t="str">
        <f>IF(F126&gt;0,"Yes","No")</f>
        <v>Yes</v>
      </c>
      <c r="G127" s="165"/>
      <c r="H127" s="165"/>
      <c r="I127" s="166" t="s">
        <v>82</v>
      </c>
      <c r="J127" s="167"/>
    </row>
    <row r="128" spans="1:10">
      <c r="A128" s="140" t="s">
        <v>95</v>
      </c>
      <c r="B128" s="149"/>
      <c r="C128" s="150"/>
      <c r="D128" s="144" t="s">
        <v>96</v>
      </c>
      <c r="E128" s="152">
        <v>0</v>
      </c>
      <c r="F128" s="152">
        <v>3</v>
      </c>
      <c r="G128" s="152"/>
      <c r="H128" s="152"/>
      <c r="I128" s="166"/>
      <c r="J128" s="167"/>
    </row>
    <row r="129" spans="1:10" ht="15.75" thickBot="1">
      <c r="A129" s="171" t="s">
        <v>97</v>
      </c>
      <c r="B129" s="138"/>
      <c r="C129" s="139"/>
      <c r="D129" s="144" t="s">
        <v>18</v>
      </c>
      <c r="E129" s="210">
        <f>E125-(E128/40075)*E126*E125</f>
        <v>72.25182077798857</v>
      </c>
      <c r="F129" s="209">
        <f>F125-(F128/40075)*F126*F125</f>
        <v>284.24381906820196</v>
      </c>
      <c r="G129" s="170"/>
      <c r="H129" s="170"/>
      <c r="I129" s="166"/>
      <c r="J129" s="167"/>
    </row>
    <row r="130" spans="1:10" ht="15.75" thickBot="1">
      <c r="D130" s="146"/>
      <c r="E130" s="136"/>
      <c r="F130" s="136"/>
      <c r="G130" s="136"/>
    </row>
    <row r="131" spans="1:10">
      <c r="A131" s="269" t="s">
        <v>134</v>
      </c>
      <c r="B131" s="269"/>
      <c r="C131" s="269"/>
      <c r="D131" s="269"/>
      <c r="E131" s="269"/>
      <c r="F131" s="269"/>
      <c r="G131" s="269"/>
      <c r="H131" s="269"/>
      <c r="I131" s="269"/>
      <c r="J131" s="269"/>
    </row>
    <row r="132" spans="1:10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</row>
    <row r="133" spans="1:10">
      <c r="E133" s="136"/>
      <c r="F133" s="136"/>
      <c r="G133" s="136"/>
    </row>
    <row r="134" spans="1:10">
      <c r="A134" s="136" t="s">
        <v>98</v>
      </c>
      <c r="D134" s="136" t="s">
        <v>15</v>
      </c>
      <c r="E134" s="136">
        <v>2</v>
      </c>
      <c r="F134" s="136"/>
      <c r="G134" s="136"/>
      <c r="H134" s="137" t="s">
        <v>99</v>
      </c>
      <c r="I134" s="137"/>
    </row>
    <row r="135" spans="1:10">
      <c r="A135" s="136" t="s">
        <v>138</v>
      </c>
      <c r="D135" s="136" t="s">
        <v>18</v>
      </c>
      <c r="E135" s="136">
        <v>0.14624999999999999</v>
      </c>
      <c r="F135" s="136"/>
      <c r="G135" s="136"/>
      <c r="H135" s="137"/>
      <c r="I135" s="137"/>
    </row>
    <row r="136" spans="1:10">
      <c r="A136" s="136" t="s">
        <v>100</v>
      </c>
      <c r="D136" s="136" t="s">
        <v>18</v>
      </c>
      <c r="E136" s="136">
        <v>0.14624999999999999</v>
      </c>
      <c r="F136" s="136"/>
      <c r="G136" s="136"/>
    </row>
    <row r="137" spans="1:10" ht="15.75">
      <c r="A137" s="136" t="s">
        <v>101</v>
      </c>
      <c r="D137" s="136" t="s">
        <v>17</v>
      </c>
      <c r="E137" s="173">
        <v>0.2</v>
      </c>
      <c r="F137" s="136"/>
      <c r="G137" s="136"/>
      <c r="H137" s="147" t="s">
        <v>139</v>
      </c>
      <c r="I137" s="147" t="s">
        <v>140</v>
      </c>
      <c r="J137" s="174" t="s">
        <v>102</v>
      </c>
    </row>
    <row r="138" spans="1:10" ht="15.75">
      <c r="A138" s="136" t="s">
        <v>103</v>
      </c>
      <c r="D138" s="136" t="s">
        <v>17</v>
      </c>
      <c r="E138" s="173">
        <v>0.08</v>
      </c>
      <c r="F138" s="136"/>
      <c r="G138" s="136"/>
      <c r="H138" s="147" t="s">
        <v>141</v>
      </c>
      <c r="I138" s="147" t="s">
        <v>142</v>
      </c>
      <c r="J138" s="174"/>
    </row>
    <row r="139" spans="1:10" ht="15.75">
      <c r="A139" s="136" t="s">
        <v>104</v>
      </c>
      <c r="D139" s="136" t="s">
        <v>15</v>
      </c>
      <c r="E139" s="175">
        <v>3</v>
      </c>
      <c r="F139" s="136"/>
      <c r="G139" s="136"/>
      <c r="H139" s="147"/>
      <c r="I139" s="147"/>
      <c r="J139" s="174"/>
    </row>
    <row r="140" spans="1:10" ht="15.75">
      <c r="A140" s="136" t="s">
        <v>105</v>
      </c>
      <c r="D140" s="136" t="s">
        <v>106</v>
      </c>
      <c r="E140" s="190">
        <f>D150-B150</f>
        <v>211.99199829021339</v>
      </c>
      <c r="F140" s="136"/>
      <c r="G140" s="136"/>
      <c r="H140" s="147"/>
      <c r="I140" s="147"/>
      <c r="J140" s="174"/>
    </row>
    <row r="141" spans="1:10" ht="15.75">
      <c r="E141" s="136"/>
      <c r="F141" s="136"/>
      <c r="G141" s="136"/>
      <c r="H141" s="147"/>
      <c r="I141" s="147"/>
      <c r="J141" s="174" t="s">
        <v>107</v>
      </c>
    </row>
    <row r="142" spans="1:10">
      <c r="B142" s="136" t="s">
        <v>25</v>
      </c>
      <c r="D142" s="136" t="s">
        <v>18</v>
      </c>
      <c r="E142" s="136"/>
      <c r="F142" s="136"/>
      <c r="G142" s="136" t="s">
        <v>108</v>
      </c>
    </row>
    <row r="143" spans="1:10" ht="15.75">
      <c r="E143" s="136"/>
      <c r="F143" s="136"/>
      <c r="G143" s="136"/>
      <c r="J143" s="176" t="s">
        <v>109</v>
      </c>
    </row>
    <row r="144" spans="1:10" ht="15.75">
      <c r="B144" s="136" t="s">
        <v>110</v>
      </c>
      <c r="E144" s="136"/>
      <c r="F144" s="136"/>
      <c r="G144" s="136"/>
      <c r="J144" s="176" t="s">
        <v>111</v>
      </c>
    </row>
    <row r="145" spans="1:10" ht="15.75">
      <c r="E145" s="136"/>
      <c r="F145" s="136"/>
      <c r="G145" s="136"/>
      <c r="J145" s="176" t="s">
        <v>112</v>
      </c>
    </row>
    <row r="146" spans="1:10" ht="15.75">
      <c r="B146" s="155" t="s">
        <v>113</v>
      </c>
      <c r="D146" s="177" t="s">
        <v>114</v>
      </c>
      <c r="E146" s="136"/>
      <c r="F146" s="178" t="s">
        <v>115</v>
      </c>
      <c r="G146" s="136"/>
      <c r="J146" s="179" t="s">
        <v>116</v>
      </c>
    </row>
    <row r="147" spans="1:10">
      <c r="B147" s="136" t="s">
        <v>117</v>
      </c>
      <c r="D147" s="136" t="s">
        <v>118</v>
      </c>
      <c r="E147" s="136"/>
      <c r="F147" s="136" t="s">
        <v>119</v>
      </c>
      <c r="G147" s="136"/>
    </row>
    <row r="148" spans="1:10" ht="15.75">
      <c r="B148" s="136" t="s">
        <v>120</v>
      </c>
      <c r="D148" s="136" t="s">
        <v>121</v>
      </c>
      <c r="E148" s="136"/>
      <c r="F148" s="136" t="s">
        <v>122</v>
      </c>
      <c r="G148" s="136"/>
      <c r="J148" s="180" t="s">
        <v>123</v>
      </c>
    </row>
    <row r="149" spans="1:10" ht="15.75">
      <c r="E149" s="136"/>
      <c r="F149" s="136"/>
      <c r="G149" s="136"/>
      <c r="J149" s="180" t="s">
        <v>124</v>
      </c>
    </row>
    <row r="150" spans="1:10">
      <c r="A150" s="136" t="s">
        <v>125</v>
      </c>
      <c r="B150" s="211">
        <f>E49</f>
        <v>72.25182077798857</v>
      </c>
      <c r="D150" s="212">
        <f>F129</f>
        <v>284.24381906820196</v>
      </c>
      <c r="E150" s="136"/>
      <c r="F150" s="137">
        <f>B150+(E140/E139)</f>
        <v>142.9158202080597</v>
      </c>
      <c r="G150" s="136"/>
    </row>
    <row r="151" spans="1:10">
      <c r="E151" s="136"/>
      <c r="F151" s="136"/>
      <c r="G151" s="136"/>
    </row>
    <row r="152" spans="1:10">
      <c r="E152" s="136"/>
      <c r="F152" s="136"/>
      <c r="G152" s="136"/>
    </row>
    <row r="153" spans="1:10">
      <c r="B153" s="136" t="s">
        <v>126</v>
      </c>
      <c r="E153" s="136"/>
      <c r="F153" s="136" t="s">
        <v>17</v>
      </c>
      <c r="G153" s="136"/>
      <c r="H153" s="181">
        <f>F150/B150-1</f>
        <v>0.97802378776312904</v>
      </c>
    </row>
    <row r="154" spans="1:10">
      <c r="E154" s="136"/>
      <c r="F154" s="136"/>
      <c r="G154" s="136"/>
    </row>
    <row r="155" spans="1:10">
      <c r="B155" s="136" t="s">
        <v>127</v>
      </c>
      <c r="E155" s="136"/>
      <c r="F155" s="136" t="s">
        <v>128</v>
      </c>
      <c r="G155" s="136"/>
      <c r="H155" s="136">
        <f>E140</f>
        <v>211.99199829021339</v>
      </c>
    </row>
    <row r="156" spans="1:10">
      <c r="E156" s="136"/>
      <c r="F156" s="136"/>
      <c r="G156" s="136"/>
    </row>
    <row r="157" spans="1:10">
      <c r="B157" s="136" t="s">
        <v>129</v>
      </c>
      <c r="E157" s="136"/>
      <c r="F157" s="136" t="s">
        <v>17</v>
      </c>
      <c r="G157" s="136"/>
      <c r="H157" s="195">
        <f>E140/(E136*(E137))</f>
        <v>7247.589685135501</v>
      </c>
    </row>
    <row r="158" spans="1:10">
      <c r="E158" s="136"/>
      <c r="F158" s="136"/>
      <c r="G158" s="136"/>
    </row>
    <row r="159" spans="1:10">
      <c r="A159" s="51" t="s">
        <v>187</v>
      </c>
      <c r="E159" s="136"/>
      <c r="F159" s="136"/>
      <c r="G159" s="136"/>
      <c r="J159" s="196">
        <f>E140</f>
        <v>211.99199829021339</v>
      </c>
    </row>
    <row r="160" spans="1:10">
      <c r="A160" s="51" t="s">
        <v>188</v>
      </c>
      <c r="E160" s="136"/>
      <c r="F160" s="136"/>
      <c r="G160" s="136"/>
      <c r="J160" s="136">
        <f>(E140*(E139/E134))/E135</f>
        <v>2174.2769055406502</v>
      </c>
    </row>
    <row r="161" spans="1:8">
      <c r="A161" s="51"/>
      <c r="E161" s="136"/>
      <c r="F161" s="136"/>
      <c r="G161" s="136"/>
    </row>
    <row r="162" spans="1:8">
      <c r="A162" s="182">
        <f>E140</f>
        <v>211.99199829021339</v>
      </c>
      <c r="E162" s="136"/>
      <c r="F162" s="136"/>
      <c r="G162" s="136"/>
    </row>
    <row r="163" spans="1:8">
      <c r="A163" s="51"/>
      <c r="E163" s="136"/>
      <c r="F163" s="136"/>
      <c r="G163" s="136"/>
    </row>
    <row r="164" spans="1:8">
      <c r="A164" s="51"/>
      <c r="E164" s="136"/>
      <c r="F164" s="136"/>
      <c r="G164" s="136" t="s">
        <v>143</v>
      </c>
      <c r="H164" s="136" t="s">
        <v>144</v>
      </c>
    </row>
    <row r="165" spans="1:8">
      <c r="A165" s="51" t="s">
        <v>184</v>
      </c>
      <c r="E165" s="136"/>
      <c r="F165" s="136" t="s">
        <v>17</v>
      </c>
      <c r="G165" s="193">
        <f>E140/((E138)*E136)</f>
        <v>18118.974212838752</v>
      </c>
      <c r="H165" s="204">
        <f>IF(E140/((E138)*E135)&gt;0,G165,0)</f>
        <v>18118.974212838752</v>
      </c>
    </row>
    <row r="166" spans="1:8">
      <c r="A166" s="51" t="s">
        <v>185</v>
      </c>
      <c r="E166" s="136"/>
      <c r="F166" s="136" t="s">
        <v>17</v>
      </c>
      <c r="G166" s="194">
        <f>H157</f>
        <v>7247.589685135501</v>
      </c>
      <c r="H166" s="205">
        <f>IF(E140/((E137)*E135)&gt;0,G166,0)</f>
        <v>7247.589685135501</v>
      </c>
    </row>
    <row r="167" spans="1:8">
      <c r="A167" s="51"/>
      <c r="E167" s="136"/>
      <c r="F167" s="136"/>
      <c r="G167" s="136"/>
    </row>
    <row r="168" spans="1:8">
      <c r="A168" s="51" t="s">
        <v>132</v>
      </c>
      <c r="E168" s="136"/>
      <c r="F168" s="136" t="s">
        <v>17</v>
      </c>
      <c r="G168" s="193">
        <f>G165/E134*E139</f>
        <v>27178.461319258127</v>
      </c>
      <c r="H168" s="189">
        <f>IF(G165/E134*E139&gt;0,G168,0)</f>
        <v>27178.461319258127</v>
      </c>
    </row>
    <row r="169" spans="1:8">
      <c r="A169" s="51" t="s">
        <v>133</v>
      </c>
      <c r="E169" s="136"/>
      <c r="F169" s="136" t="s">
        <v>17</v>
      </c>
      <c r="G169" s="193">
        <f>G166/E134*E139</f>
        <v>10871.384527703252</v>
      </c>
      <c r="H169" s="189">
        <f>IF(G166/E134*E139&gt;0,G169,0)</f>
        <v>10871.384527703252</v>
      </c>
    </row>
  </sheetData>
  <mergeCells count="1">
    <mergeCell ref="A131:J1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"/>
  <sheetViews>
    <sheetView workbookViewId="0">
      <selection activeCell="D72" sqref="D72"/>
    </sheetView>
  </sheetViews>
  <sheetFormatPr defaultRowHeight="15"/>
  <cols>
    <col min="1" max="1" width="23.28515625" style="102" customWidth="1"/>
    <col min="2" max="3" width="11.5703125" style="102" customWidth="1"/>
    <col min="4" max="4" width="65" style="102" customWidth="1"/>
    <col min="5" max="8" width="11.5703125" style="102" customWidth="1"/>
  </cols>
  <sheetData>
    <row r="1" spans="1:5">
      <c r="A1" s="103" t="s">
        <v>263</v>
      </c>
      <c r="B1" s="103" t="s">
        <v>291</v>
      </c>
      <c r="C1" s="103" t="s">
        <v>265</v>
      </c>
      <c r="D1" s="103" t="s">
        <v>266</v>
      </c>
      <c r="E1" s="103" t="s">
        <v>197</v>
      </c>
    </row>
    <row r="2" spans="1:5">
      <c r="A2" s="102" t="s">
        <v>292</v>
      </c>
      <c r="E2" s="102" t="s">
        <v>293</v>
      </c>
    </row>
    <row r="3" spans="1:5">
      <c r="A3" s="102" t="s">
        <v>0</v>
      </c>
    </row>
    <row r="4" spans="1:5">
      <c r="A4" s="102" t="s">
        <v>198</v>
      </c>
    </row>
    <row r="5" spans="1:5">
      <c r="A5" s="102" t="s">
        <v>294</v>
      </c>
    </row>
    <row r="6" spans="1:5">
      <c r="A6" s="102" t="s">
        <v>295</v>
      </c>
    </row>
    <row r="7" spans="1:5">
      <c r="A7" s="102" t="s">
        <v>1</v>
      </c>
      <c r="C7" s="102">
        <v>529</v>
      </c>
      <c r="D7" s="102" t="s">
        <v>296</v>
      </c>
      <c r="E7" s="102" t="s">
        <v>297</v>
      </c>
    </row>
    <row r="8" spans="1:5">
      <c r="A8" s="102" t="s">
        <v>2</v>
      </c>
      <c r="C8" s="102">
        <v>109</v>
      </c>
      <c r="D8" s="102" t="s">
        <v>296</v>
      </c>
      <c r="E8" s="102" t="s">
        <v>297</v>
      </c>
    </row>
    <row r="9" spans="1:5">
      <c r="A9" s="102" t="s">
        <v>3</v>
      </c>
      <c r="C9" s="102">
        <v>62</v>
      </c>
      <c r="D9" s="102" t="s">
        <v>296</v>
      </c>
      <c r="E9" s="102" t="s">
        <v>297</v>
      </c>
    </row>
    <row r="10" spans="1:5">
      <c r="A10" s="103" t="s">
        <v>23</v>
      </c>
      <c r="B10" s="103"/>
      <c r="C10" s="103"/>
      <c r="D10" s="103"/>
      <c r="E10" s="103"/>
    </row>
    <row r="11" spans="1:5">
      <c r="A11" s="102" t="s">
        <v>4</v>
      </c>
      <c r="B11" s="102" t="s">
        <v>298</v>
      </c>
      <c r="C11" s="102" t="s">
        <v>299</v>
      </c>
      <c r="D11" s="102" t="s">
        <v>300</v>
      </c>
      <c r="E11" s="102" t="s">
        <v>270</v>
      </c>
    </row>
    <row r="12" spans="1:5">
      <c r="A12" s="102" t="s">
        <v>35</v>
      </c>
    </row>
    <row r="13" spans="1:5">
      <c r="A13" s="102" t="s">
        <v>5</v>
      </c>
      <c r="B13" s="102">
        <v>6</v>
      </c>
      <c r="C13" s="102" t="s">
        <v>301</v>
      </c>
      <c r="D13" s="102" t="s">
        <v>302</v>
      </c>
      <c r="E13" s="102" t="s">
        <v>293</v>
      </c>
    </row>
    <row r="14" spans="1:5">
      <c r="A14" s="102" t="s">
        <v>186</v>
      </c>
      <c r="B14" s="102">
        <v>19</v>
      </c>
      <c r="C14" s="102">
        <v>1501797000</v>
      </c>
      <c r="D14" s="102" t="s">
        <v>302</v>
      </c>
      <c r="E14" s="102" t="s">
        <v>293</v>
      </c>
    </row>
    <row r="15" spans="1:5">
      <c r="A15" s="102" t="s">
        <v>11</v>
      </c>
      <c r="C15" s="102">
        <v>1908</v>
      </c>
      <c r="D15" s="102" t="s">
        <v>278</v>
      </c>
      <c r="E15" s="102" t="s">
        <v>303</v>
      </c>
    </row>
    <row r="16" spans="1:5">
      <c r="A16" s="102" t="s">
        <v>12</v>
      </c>
      <c r="C16" s="102" t="s">
        <v>304</v>
      </c>
      <c r="D16" s="102" t="s">
        <v>305</v>
      </c>
    </row>
    <row r="17" spans="1:8">
      <c r="A17" s="102" t="s">
        <v>26</v>
      </c>
    </row>
    <row r="18" spans="1:8">
      <c r="A18" s="102" t="s">
        <v>21</v>
      </c>
    </row>
    <row r="19" spans="1:8">
      <c r="A19" s="102" t="s">
        <v>306</v>
      </c>
    </row>
    <row r="20" spans="1:8">
      <c r="A20" s="102" t="s">
        <v>307</v>
      </c>
    </row>
    <row r="21" spans="1:8" ht="30">
      <c r="A21" s="103" t="s">
        <v>212</v>
      </c>
      <c r="B21" s="103" t="s">
        <v>213</v>
      </c>
      <c r="C21" s="103" t="s">
        <v>214</v>
      </c>
      <c r="D21" s="103" t="s">
        <v>215</v>
      </c>
      <c r="E21" s="103" t="s">
        <v>216</v>
      </c>
    </row>
    <row r="22" spans="1:8">
      <c r="A22" s="102" t="s">
        <v>217</v>
      </c>
    </row>
    <row r="23" spans="1:8" ht="30">
      <c r="A23" s="102" t="s">
        <v>218</v>
      </c>
      <c r="B23" s="102" t="s">
        <v>219</v>
      </c>
      <c r="C23" s="102">
        <v>1</v>
      </c>
      <c r="D23" s="102">
        <v>5028</v>
      </c>
      <c r="E23" s="102">
        <v>5028</v>
      </c>
      <c r="F23" s="102" t="s">
        <v>308</v>
      </c>
    </row>
    <row r="24" spans="1:8">
      <c r="A24" s="102" t="s">
        <v>220</v>
      </c>
      <c r="B24" s="102" t="s">
        <v>219</v>
      </c>
      <c r="C24" s="102">
        <v>1</v>
      </c>
      <c r="D24" s="102">
        <v>334</v>
      </c>
      <c r="E24" s="102">
        <v>334</v>
      </c>
      <c r="F24" s="102" t="s">
        <v>309</v>
      </c>
      <c r="G24" s="102" t="s">
        <v>0</v>
      </c>
      <c r="H24" s="102" t="s">
        <v>215</v>
      </c>
    </row>
    <row r="25" spans="1:8">
      <c r="A25" s="102" t="s">
        <v>221</v>
      </c>
      <c r="B25" s="102" t="s">
        <v>219</v>
      </c>
      <c r="C25" s="102">
        <v>1</v>
      </c>
      <c r="D25" s="102">
        <v>125</v>
      </c>
      <c r="E25" s="102">
        <v>125</v>
      </c>
      <c r="F25" s="102" t="s">
        <v>310</v>
      </c>
      <c r="G25" s="102" t="s">
        <v>311</v>
      </c>
      <c r="H25" s="102">
        <v>315</v>
      </c>
    </row>
    <row r="26" spans="1:8">
      <c r="A26" s="102" t="s">
        <v>222</v>
      </c>
      <c r="B26" s="102" t="s">
        <v>219</v>
      </c>
      <c r="C26" s="102">
        <v>1</v>
      </c>
      <c r="D26" s="102">
        <v>448</v>
      </c>
      <c r="E26" s="102">
        <v>448</v>
      </c>
      <c r="G26" s="102" t="s">
        <v>312</v>
      </c>
      <c r="H26" s="102">
        <v>47</v>
      </c>
    </row>
    <row r="27" spans="1:8">
      <c r="A27" s="102" t="s">
        <v>223</v>
      </c>
      <c r="B27" s="102" t="s">
        <v>219</v>
      </c>
      <c r="C27" s="102">
        <v>1</v>
      </c>
      <c r="D27" s="102">
        <v>6</v>
      </c>
      <c r="E27" s="102">
        <v>6</v>
      </c>
      <c r="G27" s="102" t="s">
        <v>313</v>
      </c>
      <c r="H27" s="102">
        <v>92</v>
      </c>
    </row>
    <row r="28" spans="1:8">
      <c r="A28" s="102" t="s">
        <v>224</v>
      </c>
      <c r="B28" s="102" t="s">
        <v>219</v>
      </c>
      <c r="C28" s="102">
        <v>1</v>
      </c>
      <c r="D28" s="102">
        <v>155</v>
      </c>
      <c r="E28" s="102">
        <v>155</v>
      </c>
      <c r="F28" s="102" t="s">
        <v>314</v>
      </c>
      <c r="G28" s="102" t="s">
        <v>311</v>
      </c>
      <c r="H28" s="102">
        <v>13</v>
      </c>
    </row>
    <row r="29" spans="1:8">
      <c r="A29" s="102" t="s">
        <v>8</v>
      </c>
      <c r="E29" s="102">
        <v>6096</v>
      </c>
      <c r="G29" s="102" t="s">
        <v>312</v>
      </c>
      <c r="H29" s="102">
        <v>2</v>
      </c>
    </row>
    <row r="30" spans="1:8">
      <c r="A30" s="102" t="s">
        <v>225</v>
      </c>
      <c r="G30" s="102" t="s">
        <v>313</v>
      </c>
      <c r="H30" s="102">
        <v>4</v>
      </c>
    </row>
    <row r="31" spans="1:8">
      <c r="A31" s="102" t="s">
        <v>226</v>
      </c>
      <c r="B31" s="102" t="s">
        <v>219</v>
      </c>
      <c r="C31" s="102">
        <v>1</v>
      </c>
      <c r="D31" s="102">
        <v>1644</v>
      </c>
      <c r="E31" s="102">
        <v>1644</v>
      </c>
      <c r="F31" s="102" t="s">
        <v>315</v>
      </c>
      <c r="G31" s="102" t="s">
        <v>311</v>
      </c>
      <c r="H31" s="102">
        <v>4</v>
      </c>
    </row>
    <row r="32" spans="1:8">
      <c r="G32" s="102" t="s">
        <v>312</v>
      </c>
      <c r="H32" s="102">
        <v>0</v>
      </c>
    </row>
    <row r="33" spans="1:8">
      <c r="A33" s="102" t="s">
        <v>227</v>
      </c>
      <c r="G33" s="102" t="s">
        <v>313</v>
      </c>
      <c r="H33" s="102">
        <v>5</v>
      </c>
    </row>
    <row r="34" spans="1:8">
      <c r="A34" s="102" t="s">
        <v>228</v>
      </c>
      <c r="B34" s="102" t="s">
        <v>229</v>
      </c>
      <c r="C34" s="102">
        <v>30</v>
      </c>
      <c r="D34" s="102">
        <v>126</v>
      </c>
      <c r="E34" s="102">
        <v>3780</v>
      </c>
      <c r="F34" s="102" t="s">
        <v>316</v>
      </c>
      <c r="G34" s="102" t="s">
        <v>311</v>
      </c>
      <c r="H34" s="102">
        <v>19</v>
      </c>
    </row>
    <row r="35" spans="1:8">
      <c r="A35" s="102" t="s">
        <v>230</v>
      </c>
      <c r="B35" s="102" t="s">
        <v>229</v>
      </c>
      <c r="C35" s="102">
        <v>30</v>
      </c>
      <c r="D35" s="102">
        <v>45</v>
      </c>
      <c r="E35" s="102">
        <v>1350</v>
      </c>
      <c r="G35" s="102" t="s">
        <v>312</v>
      </c>
      <c r="H35" s="102">
        <v>3</v>
      </c>
    </row>
    <row r="36" spans="1:8">
      <c r="A36" s="102" t="s">
        <v>231</v>
      </c>
      <c r="B36" s="102" t="s">
        <v>229</v>
      </c>
      <c r="C36" s="102">
        <v>30</v>
      </c>
      <c r="D36" s="102">
        <v>1262</v>
      </c>
      <c r="E36" s="102">
        <v>37860</v>
      </c>
      <c r="G36" s="102" t="s">
        <v>313</v>
      </c>
      <c r="H36" s="102">
        <v>2</v>
      </c>
    </row>
    <row r="37" spans="1:8">
      <c r="A37" s="102" t="s">
        <v>232</v>
      </c>
      <c r="B37" s="102" t="s">
        <v>229</v>
      </c>
      <c r="C37" s="102">
        <v>30</v>
      </c>
      <c r="D37" s="102">
        <v>80</v>
      </c>
      <c r="E37" s="102">
        <v>2400</v>
      </c>
      <c r="F37" s="102" t="s">
        <v>317</v>
      </c>
      <c r="G37" s="102" t="s">
        <v>311</v>
      </c>
      <c r="H37" s="102">
        <v>44</v>
      </c>
    </row>
    <row r="38" spans="1:8">
      <c r="A38" s="102" t="s">
        <v>233</v>
      </c>
      <c r="B38" s="102" t="s">
        <v>229</v>
      </c>
      <c r="C38" s="102">
        <v>30</v>
      </c>
      <c r="D38" s="102">
        <v>3</v>
      </c>
      <c r="E38" s="102">
        <v>90</v>
      </c>
      <c r="G38" s="102" t="s">
        <v>312</v>
      </c>
      <c r="H38" s="102">
        <v>1</v>
      </c>
    </row>
    <row r="39" spans="1:8">
      <c r="A39" s="102" t="s">
        <v>234</v>
      </c>
      <c r="B39" s="102" t="s">
        <v>229</v>
      </c>
      <c r="C39" s="102">
        <v>30</v>
      </c>
      <c r="D39" s="102">
        <v>75</v>
      </c>
      <c r="E39" s="102">
        <v>2250</v>
      </c>
      <c r="G39" s="102" t="s">
        <v>313</v>
      </c>
      <c r="H39" s="102">
        <v>2</v>
      </c>
    </row>
    <row r="40" spans="1:8" ht="30">
      <c r="A40" s="102" t="s">
        <v>235</v>
      </c>
      <c r="B40" s="102" t="s">
        <v>229</v>
      </c>
      <c r="C40" s="102">
        <v>30</v>
      </c>
      <c r="D40" s="102">
        <v>301</v>
      </c>
      <c r="E40" s="102">
        <v>9030</v>
      </c>
      <c r="F40" s="102" t="s">
        <v>318</v>
      </c>
      <c r="G40" s="102" t="s">
        <v>311</v>
      </c>
      <c r="H40" s="102">
        <v>129</v>
      </c>
    </row>
    <row r="41" spans="1:8" ht="30">
      <c r="A41" s="102" t="s">
        <v>236</v>
      </c>
      <c r="B41" s="102" t="s">
        <v>229</v>
      </c>
      <c r="C41" s="102">
        <v>30</v>
      </c>
      <c r="D41" s="102">
        <v>30</v>
      </c>
      <c r="E41" s="102">
        <v>900</v>
      </c>
      <c r="G41" s="102" t="s">
        <v>312</v>
      </c>
      <c r="H41" s="102">
        <v>5</v>
      </c>
    </row>
    <row r="42" spans="1:8">
      <c r="A42" s="102" t="s">
        <v>237</v>
      </c>
      <c r="B42" s="102" t="s">
        <v>229</v>
      </c>
      <c r="C42" s="102">
        <v>30</v>
      </c>
      <c r="D42" s="102">
        <v>252</v>
      </c>
      <c r="E42" s="102">
        <v>7560</v>
      </c>
      <c r="G42" s="102" t="s">
        <v>313</v>
      </c>
      <c r="H42" s="102">
        <v>4</v>
      </c>
    </row>
    <row r="43" spans="1:8">
      <c r="A43" s="102" t="s">
        <v>238</v>
      </c>
      <c r="B43" s="102" t="s">
        <v>229</v>
      </c>
      <c r="C43" s="102">
        <v>30</v>
      </c>
      <c r="D43" s="102">
        <v>7</v>
      </c>
      <c r="E43" s="102">
        <v>210</v>
      </c>
      <c r="F43" s="102" t="s">
        <v>224</v>
      </c>
      <c r="G43" s="102" t="s">
        <v>311</v>
      </c>
      <c r="H43" s="102">
        <v>5</v>
      </c>
    </row>
    <row r="44" spans="1:8">
      <c r="A44" s="102" t="s">
        <v>239</v>
      </c>
      <c r="B44" s="102" t="s">
        <v>229</v>
      </c>
      <c r="C44" s="102">
        <v>30</v>
      </c>
      <c r="D44" s="102">
        <v>0</v>
      </c>
      <c r="E44" s="102">
        <v>0</v>
      </c>
      <c r="G44" s="102" t="s">
        <v>312</v>
      </c>
      <c r="H44" s="102">
        <v>4</v>
      </c>
    </row>
    <row r="45" spans="1:8">
      <c r="A45" s="102" t="s">
        <v>220</v>
      </c>
      <c r="B45" s="102" t="s">
        <v>229</v>
      </c>
      <c r="C45" s="102">
        <v>15</v>
      </c>
      <c r="D45" s="102">
        <v>347</v>
      </c>
      <c r="E45" s="102">
        <v>5205</v>
      </c>
      <c r="G45" s="102" t="s">
        <v>313</v>
      </c>
      <c r="H45" s="102">
        <v>1</v>
      </c>
    </row>
    <row r="46" spans="1:8" ht="30">
      <c r="A46" s="102" t="s">
        <v>240</v>
      </c>
      <c r="B46" s="102" t="s">
        <v>229</v>
      </c>
      <c r="C46" s="102">
        <v>30</v>
      </c>
      <c r="D46" s="102">
        <v>80</v>
      </c>
      <c r="E46" s="102">
        <v>2400</v>
      </c>
      <c r="F46" s="102" t="s">
        <v>8</v>
      </c>
      <c r="G46" s="102" t="s">
        <v>311</v>
      </c>
      <c r="H46" s="102">
        <v>529</v>
      </c>
    </row>
    <row r="47" spans="1:8">
      <c r="A47" s="226" t="s">
        <v>8</v>
      </c>
      <c r="B47" s="226"/>
      <c r="C47" s="226"/>
      <c r="D47" s="226"/>
      <c r="E47" s="226">
        <v>73035</v>
      </c>
      <c r="G47" s="102" t="s">
        <v>312</v>
      </c>
      <c r="H47" s="102">
        <v>62</v>
      </c>
    </row>
    <row r="48" spans="1:8">
      <c r="A48" s="102" t="s">
        <v>241</v>
      </c>
      <c r="B48" s="102" t="s">
        <v>242</v>
      </c>
      <c r="C48" s="102">
        <v>1</v>
      </c>
      <c r="D48" s="102">
        <v>121</v>
      </c>
      <c r="E48" s="102">
        <v>121</v>
      </c>
      <c r="G48" s="102" t="s">
        <v>313</v>
      </c>
      <c r="H48" s="102">
        <v>109</v>
      </c>
    </row>
    <row r="49" spans="1:5">
      <c r="B49" s="102" t="s">
        <v>243</v>
      </c>
      <c r="C49" s="102">
        <v>1</v>
      </c>
      <c r="D49" s="102">
        <v>2591</v>
      </c>
      <c r="E49" s="102">
        <v>2591</v>
      </c>
    </row>
    <row r="50" spans="1:5">
      <c r="A50" s="102" t="s">
        <v>8</v>
      </c>
      <c r="E50" s="102">
        <v>2712</v>
      </c>
    </row>
    <row r="51" spans="1:5">
      <c r="A51" s="102" t="s">
        <v>244</v>
      </c>
    </row>
    <row r="52" spans="1:5">
      <c r="A52" s="102" t="s">
        <v>319</v>
      </c>
      <c r="B52" s="102" t="s">
        <v>6</v>
      </c>
      <c r="C52" s="102">
        <v>1</v>
      </c>
      <c r="D52" s="102">
        <v>7951</v>
      </c>
      <c r="E52" s="102">
        <v>7951</v>
      </c>
    </row>
    <row r="53" spans="1:5">
      <c r="A53" s="102" t="s">
        <v>320</v>
      </c>
      <c r="B53" s="102" t="s">
        <v>6</v>
      </c>
      <c r="C53" s="102">
        <v>1</v>
      </c>
      <c r="D53" s="102">
        <v>2850</v>
      </c>
      <c r="E53" s="102">
        <v>2850</v>
      </c>
    </row>
    <row r="54" spans="1:5">
      <c r="A54" s="102" t="s">
        <v>321</v>
      </c>
      <c r="B54" s="102" t="s">
        <v>6</v>
      </c>
      <c r="C54" s="102">
        <v>1</v>
      </c>
      <c r="D54" s="102">
        <v>910</v>
      </c>
      <c r="E54" s="102">
        <v>910</v>
      </c>
    </row>
    <row r="55" spans="1:5">
      <c r="A55" s="102" t="s">
        <v>322</v>
      </c>
      <c r="B55" s="102" t="s">
        <v>6</v>
      </c>
      <c r="C55" s="102">
        <v>1</v>
      </c>
      <c r="D55" s="102">
        <v>0</v>
      </c>
      <c r="E55" s="102">
        <v>0</v>
      </c>
    </row>
    <row r="56" spans="1:5">
      <c r="A56" s="102" t="s">
        <v>323</v>
      </c>
      <c r="B56" s="102" t="s">
        <v>6</v>
      </c>
      <c r="C56" s="102">
        <v>1</v>
      </c>
      <c r="D56" s="102">
        <v>1100</v>
      </c>
      <c r="E56" s="102">
        <v>1100</v>
      </c>
    </row>
    <row r="57" spans="1:5">
      <c r="A57" s="102" t="s">
        <v>248</v>
      </c>
      <c r="B57" s="102" t="s">
        <v>6</v>
      </c>
      <c r="C57" s="102">
        <v>1</v>
      </c>
      <c r="D57" s="102">
        <v>17708</v>
      </c>
      <c r="E57" s="102">
        <v>17708</v>
      </c>
    </row>
    <row r="58" spans="1:5">
      <c r="A58" s="226" t="s">
        <v>8</v>
      </c>
      <c r="B58" s="226"/>
      <c r="C58" s="226"/>
      <c r="D58" s="226"/>
      <c r="E58" s="226">
        <v>30519</v>
      </c>
    </row>
    <row r="59" spans="1:5">
      <c r="A59" s="102" t="s">
        <v>249</v>
      </c>
    </row>
    <row r="60" spans="1:5">
      <c r="A60" s="102" t="s">
        <v>250</v>
      </c>
      <c r="B60" s="102" t="s">
        <v>6</v>
      </c>
      <c r="C60" s="102">
        <v>1</v>
      </c>
      <c r="D60" s="102">
        <v>2129</v>
      </c>
      <c r="E60" s="102">
        <v>2129</v>
      </c>
    </row>
    <row r="61" spans="1:5">
      <c r="A61" s="102" t="s">
        <v>251</v>
      </c>
      <c r="B61" s="102" t="s">
        <v>6</v>
      </c>
      <c r="C61" s="102">
        <v>1</v>
      </c>
      <c r="E61" s="102">
        <v>0</v>
      </c>
    </row>
    <row r="62" spans="1:5">
      <c r="A62" s="102" t="s">
        <v>252</v>
      </c>
      <c r="B62" s="102" t="s">
        <v>6</v>
      </c>
      <c r="C62" s="102">
        <v>1</v>
      </c>
      <c r="E62" s="102">
        <v>0</v>
      </c>
    </row>
    <row r="63" spans="1:5">
      <c r="A63" s="102" t="s">
        <v>253</v>
      </c>
      <c r="B63" s="102" t="s">
        <v>6</v>
      </c>
      <c r="C63" s="102">
        <v>1</v>
      </c>
      <c r="E63" s="102">
        <v>0</v>
      </c>
    </row>
    <row r="64" spans="1:5">
      <c r="E64" s="102">
        <v>2129</v>
      </c>
    </row>
    <row r="65" spans="1:5">
      <c r="A65" s="102" t="s">
        <v>324</v>
      </c>
      <c r="B65" s="102" t="s">
        <v>255</v>
      </c>
      <c r="C65" s="102">
        <v>2.5</v>
      </c>
      <c r="D65" s="102">
        <v>26686</v>
      </c>
      <c r="E65" s="102">
        <v>66715</v>
      </c>
    </row>
    <row r="67" spans="1:5">
      <c r="A67" s="102" t="s">
        <v>256</v>
      </c>
    </row>
    <row r="68" spans="1:5">
      <c r="A68" s="102" t="s">
        <v>257</v>
      </c>
      <c r="B68" s="102" t="s">
        <v>6</v>
      </c>
      <c r="C68" s="102">
        <v>1</v>
      </c>
      <c r="D68" s="102">
        <v>1594</v>
      </c>
      <c r="E68" s="102">
        <v>1594</v>
      </c>
    </row>
    <row r="70" spans="1:5">
      <c r="A70" s="103"/>
      <c r="B70" s="103"/>
      <c r="C70" s="103"/>
      <c r="D70" s="103" t="s">
        <v>8</v>
      </c>
      <c r="E70" s="103">
        <v>184444</v>
      </c>
    </row>
    <row r="73" spans="1:5">
      <c r="A73" s="226" t="s">
        <v>325</v>
      </c>
      <c r="B73" s="226"/>
      <c r="C73" s="226">
        <v>80654725.930000007</v>
      </c>
      <c r="D73" s="226"/>
      <c r="E73" s="226"/>
    </row>
    <row r="76" spans="1:5">
      <c r="A76" s="103"/>
      <c r="B76" s="103" t="s">
        <v>258</v>
      </c>
      <c r="C76" s="103" t="s">
        <v>265</v>
      </c>
      <c r="D76" s="103" t="s">
        <v>266</v>
      </c>
      <c r="E76" s="103" t="s">
        <v>197</v>
      </c>
    </row>
    <row r="77" spans="1:5">
      <c r="A77" s="102" t="s">
        <v>10</v>
      </c>
      <c r="B77" s="102" t="s">
        <v>326</v>
      </c>
      <c r="C77" s="102" t="s">
        <v>327</v>
      </c>
      <c r="D77" s="102" t="s">
        <v>328</v>
      </c>
    </row>
    <row r="78" spans="1:5">
      <c r="D78" s="102" t="s">
        <v>329</v>
      </c>
      <c r="E78" s="102" t="s">
        <v>330</v>
      </c>
    </row>
    <row r="80" spans="1:5">
      <c r="A80" s="102" t="s">
        <v>263</v>
      </c>
      <c r="B80" s="102" t="s">
        <v>264</v>
      </c>
      <c r="C80" s="102" t="s">
        <v>265</v>
      </c>
      <c r="D80" s="102" t="s">
        <v>266</v>
      </c>
      <c r="E80" s="102" t="s">
        <v>197</v>
      </c>
    </row>
    <row r="81" spans="1:5">
      <c r="A81" s="102" t="s">
        <v>331</v>
      </c>
    </row>
    <row r="82" spans="1:5" ht="30">
      <c r="A82" s="102" t="s">
        <v>38</v>
      </c>
      <c r="B82" s="102" t="s">
        <v>268</v>
      </c>
      <c r="C82" s="102">
        <v>0.58555400000000002</v>
      </c>
      <c r="D82" s="102" t="s">
        <v>332</v>
      </c>
      <c r="E82" s="102" t="s">
        <v>270</v>
      </c>
    </row>
    <row r="83" spans="1:5" ht="30">
      <c r="A83" s="102" t="s">
        <v>39</v>
      </c>
      <c r="B83" s="102" t="s">
        <v>271</v>
      </c>
      <c r="C83" s="102">
        <v>247000</v>
      </c>
      <c r="D83" s="102" t="s">
        <v>332</v>
      </c>
      <c r="E83" s="102" t="s">
        <v>270</v>
      </c>
    </row>
    <row r="84" spans="1:5">
      <c r="A84" s="102" t="s">
        <v>40</v>
      </c>
      <c r="B84" s="102" t="s">
        <v>333</v>
      </c>
      <c r="C84" s="102">
        <v>80.654725999999997</v>
      </c>
      <c r="D84" s="102" t="s">
        <v>334</v>
      </c>
      <c r="E84" s="102" t="s">
        <v>270</v>
      </c>
    </row>
    <row r="85" spans="1:5" ht="30">
      <c r="A85" s="102" t="s">
        <v>41</v>
      </c>
      <c r="C85" s="102">
        <v>79.822171999999995</v>
      </c>
    </row>
    <row r="86" spans="1:5">
      <c r="A86" s="102" t="s">
        <v>42</v>
      </c>
    </row>
    <row r="87" spans="1:5" ht="30">
      <c r="A87" s="102" t="s">
        <v>67</v>
      </c>
      <c r="C87" s="102">
        <v>0</v>
      </c>
    </row>
    <row r="88" spans="1:5">
      <c r="A88" s="102" t="s">
        <v>60</v>
      </c>
      <c r="B88" s="102" t="s">
        <v>268</v>
      </c>
      <c r="C88" s="102">
        <v>7</v>
      </c>
      <c r="D88" s="102" t="s">
        <v>332</v>
      </c>
      <c r="E88" s="102" t="s">
        <v>270</v>
      </c>
    </row>
    <row r="89" spans="1:5">
      <c r="A89" s="102" t="s">
        <v>59</v>
      </c>
      <c r="B89" s="102" t="s">
        <v>277</v>
      </c>
      <c r="C89" s="102">
        <v>27</v>
      </c>
      <c r="D89" s="102" t="s">
        <v>335</v>
      </c>
      <c r="E89" s="102" t="s">
        <v>270</v>
      </c>
    </row>
    <row r="90" spans="1:5">
      <c r="A90" s="102" t="s">
        <v>61</v>
      </c>
      <c r="C90" s="102">
        <v>34</v>
      </c>
    </row>
    <row r="91" spans="1:5">
      <c r="A91" s="102" t="s">
        <v>44</v>
      </c>
      <c r="C91" s="102">
        <v>1908</v>
      </c>
      <c r="D91" s="102" t="s">
        <v>336</v>
      </c>
    </row>
    <row r="93" spans="1:5">
      <c r="A93" s="103" t="s">
        <v>337</v>
      </c>
      <c r="B93" s="103"/>
      <c r="C93" s="103"/>
      <c r="D93" s="103"/>
      <c r="E93" s="103"/>
    </row>
    <row r="94" spans="1:5" ht="30">
      <c r="A94" s="102" t="s">
        <v>38</v>
      </c>
      <c r="B94" s="102" t="s">
        <v>268</v>
      </c>
      <c r="C94" s="102">
        <v>520419</v>
      </c>
      <c r="D94" s="102" t="s">
        <v>269</v>
      </c>
      <c r="E94" s="102" t="s">
        <v>270</v>
      </c>
    </row>
    <row r="95" spans="1:5" ht="30">
      <c r="A95" s="102" t="s">
        <v>39</v>
      </c>
      <c r="B95" s="102" t="s">
        <v>271</v>
      </c>
      <c r="C95" s="102">
        <v>248000</v>
      </c>
      <c r="D95" s="102" t="s">
        <v>269</v>
      </c>
      <c r="E95" s="102" t="s">
        <v>270</v>
      </c>
    </row>
    <row r="96" spans="1:5">
      <c r="A96" s="102" t="s">
        <v>40</v>
      </c>
      <c r="B96" s="102" t="s">
        <v>272</v>
      </c>
      <c r="C96" s="102" t="s">
        <v>273</v>
      </c>
      <c r="D96" s="102" t="s">
        <v>274</v>
      </c>
      <c r="E96" s="102" t="s">
        <v>270</v>
      </c>
    </row>
    <row r="97" spans="1:5" ht="30">
      <c r="A97" s="102" t="s">
        <v>41</v>
      </c>
      <c r="C97" s="102" t="s">
        <v>275</v>
      </c>
      <c r="D97" s="102" t="s">
        <v>276</v>
      </c>
    </row>
    <row r="98" spans="1:5">
      <c r="A98" s="102" t="s">
        <v>42</v>
      </c>
      <c r="C98" s="102">
        <v>0</v>
      </c>
    </row>
    <row r="99" spans="1:5" ht="30">
      <c r="A99" s="102" t="s">
        <v>67</v>
      </c>
      <c r="C99" s="102">
        <v>0</v>
      </c>
    </row>
    <row r="100" spans="1:5">
      <c r="A100" s="102" t="s">
        <v>60</v>
      </c>
      <c r="B100" s="102" t="s">
        <v>268</v>
      </c>
      <c r="C100" s="102">
        <v>7</v>
      </c>
      <c r="D100" s="102" t="s">
        <v>269</v>
      </c>
      <c r="E100" s="102" t="s">
        <v>270</v>
      </c>
    </row>
    <row r="101" spans="1:5">
      <c r="A101" s="102" t="s">
        <v>59</v>
      </c>
      <c r="B101" s="102" t="s">
        <v>277</v>
      </c>
      <c r="C101" s="102">
        <v>27</v>
      </c>
      <c r="D101" s="102" t="s">
        <v>269</v>
      </c>
      <c r="E101" s="102" t="s">
        <v>270</v>
      </c>
    </row>
    <row r="102" spans="1:5">
      <c r="A102" s="102" t="s">
        <v>61</v>
      </c>
      <c r="C102" s="102">
        <v>34</v>
      </c>
    </row>
    <row r="103" spans="1:5">
      <c r="A103" s="102" t="s">
        <v>44</v>
      </c>
      <c r="C103" s="102">
        <v>2011</v>
      </c>
      <c r="D103" s="10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Worcester (WMFS 2014)</vt:lpstr>
      <vt:lpstr>WMFS 2015</vt:lpstr>
      <vt:lpstr>Master Formula</vt:lpstr>
      <vt:lpstr>Registered IP</vt:lpstr>
      <vt:lpstr>WMFS 2016</vt:lpstr>
      <vt:lpstr>2016 data source</vt:lpstr>
      <vt:lpstr>WMFS 2017</vt:lpstr>
      <vt:lpstr>2017 data source.</vt:lpstr>
      <vt:lpstr>Enfield 2015</vt:lpstr>
      <vt:lpstr>NMUH i1 (Enfield 2015)</vt:lpstr>
      <vt:lpstr>NMUH i2 (Enfield 2015)</vt:lpstr>
      <vt:lpstr>NUMH Total (Enfield 2015)</vt:lpstr>
      <vt:lpstr>BANES 2015</vt:lpstr>
      <vt:lpstr>Brakes Total (BANES 2015)</vt:lpstr>
      <vt:lpstr>Supplier</vt:lpstr>
      <vt:lpstr>Bidder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Enfield Council ser</dc:title>
  <dc:creator>Olinga Taeed</dc:creator>
  <cp:lastModifiedBy>Olinga Taeed</cp:lastModifiedBy>
  <cp:lastPrinted>2014-04-01T20:32:33Z</cp:lastPrinted>
  <dcterms:created xsi:type="dcterms:W3CDTF">2012-07-21T15:11:10Z</dcterms:created>
  <dcterms:modified xsi:type="dcterms:W3CDTF">2018-10-14T10:18:18Z</dcterms:modified>
</cp:coreProperties>
</file>