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d\OneDrive\Desktop\"/>
    </mc:Choice>
  </mc:AlternateContent>
  <xr:revisionPtr revIDLastSave="0" documentId="13_ncr:1_{10875A5F-514E-42C2-9E5E-3302D6B3225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ATECARD " sheetId="1" r:id="rId1"/>
  </sheets>
  <definedNames>
    <definedName name="_xlnm._FilterDatabase" localSheetId="0" hidden="1">'RATECARD '!$A$6:$U$253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2" i="1" l="1"/>
  <c r="I121" i="1"/>
  <c r="T98" i="1"/>
  <c r="S98" i="1"/>
  <c r="T127" i="1"/>
  <c r="S127" i="1"/>
  <c r="T126" i="1"/>
  <c r="S126" i="1"/>
  <c r="T125" i="1"/>
  <c r="S125" i="1"/>
  <c r="T118" i="1"/>
  <c r="S118" i="1"/>
  <c r="T117" i="1"/>
  <c r="S117" i="1"/>
  <c r="T111" i="1"/>
  <c r="T109" i="1"/>
  <c r="S111" i="1"/>
  <c r="T110" i="1"/>
  <c r="S110" i="1"/>
  <c r="S109" i="1"/>
  <c r="T108" i="1"/>
  <c r="S108" i="1"/>
  <c r="T99" i="1"/>
  <c r="S99" i="1"/>
  <c r="T97" i="1"/>
  <c r="S97" i="1"/>
  <c r="S122" i="1"/>
  <c r="T122" i="1"/>
  <c r="T121" i="1"/>
  <c r="S121" i="1"/>
  <c r="T166" i="1" l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4" i="1"/>
  <c r="S154" i="1"/>
  <c r="T132" i="1"/>
  <c r="S132" i="1"/>
  <c r="T131" i="1"/>
  <c r="S131" i="1"/>
  <c r="T130" i="1"/>
  <c r="S130" i="1"/>
  <c r="T129" i="1"/>
  <c r="S129" i="1"/>
  <c r="T124" i="1"/>
  <c r="S124" i="1"/>
  <c r="T123" i="1"/>
  <c r="S123" i="1"/>
  <c r="T120" i="1"/>
  <c r="S120" i="1"/>
  <c r="T119" i="1"/>
  <c r="S119" i="1"/>
  <c r="T115" i="1"/>
  <c r="S115" i="1"/>
  <c r="T114" i="1"/>
  <c r="S114" i="1"/>
  <c r="T113" i="1"/>
  <c r="S113" i="1"/>
  <c r="T105" i="1"/>
  <c r="S105" i="1"/>
  <c r="T104" i="1"/>
  <c r="S104" i="1"/>
  <c r="T103" i="1"/>
  <c r="S103" i="1"/>
  <c r="T102" i="1"/>
  <c r="S102" i="1"/>
  <c r="T101" i="1"/>
  <c r="S101" i="1"/>
  <c r="T157" i="1"/>
  <c r="S157" i="1"/>
  <c r="T156" i="1"/>
  <c r="S156" i="1"/>
  <c r="T155" i="1"/>
  <c r="S155" i="1"/>
  <c r="T153" i="1"/>
  <c r="S153" i="1"/>
  <c r="T152" i="1"/>
  <c r="S152" i="1"/>
  <c r="T116" i="1"/>
  <c r="S116" i="1"/>
  <c r="T112" i="1"/>
  <c r="S112" i="1"/>
  <c r="T106" i="1"/>
  <c r="S106" i="1"/>
  <c r="T100" i="1"/>
  <c r="S100" i="1"/>
  <c r="I119" i="1" l="1"/>
  <c r="I120" i="1"/>
  <c r="I123" i="1"/>
  <c r="D170" i="1" l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I158" i="1" l="1"/>
  <c r="S158" i="1" s="1"/>
  <c r="Q162" i="1"/>
  <c r="L162" i="1"/>
  <c r="O162" i="1" s="1"/>
  <c r="R162" i="1" s="1"/>
  <c r="U162" i="1" s="1"/>
  <c r="Q161" i="1"/>
  <c r="L161" i="1"/>
  <c r="O161" i="1" s="1"/>
  <c r="R161" i="1" s="1"/>
  <c r="U161" i="1" s="1"/>
  <c r="Q160" i="1"/>
  <c r="L160" i="1"/>
  <c r="O160" i="1" s="1"/>
  <c r="R160" i="1" s="1"/>
  <c r="U160" i="1" s="1"/>
  <c r="Q159" i="1"/>
  <c r="L159" i="1"/>
  <c r="O159" i="1" s="1"/>
  <c r="R159" i="1" s="1"/>
  <c r="U159" i="1" s="1"/>
  <c r="Q164" i="1"/>
  <c r="L164" i="1"/>
  <c r="O164" i="1" s="1"/>
  <c r="R164" i="1" s="1"/>
  <c r="U164" i="1" s="1"/>
  <c r="Q163" i="1"/>
  <c r="L163" i="1"/>
  <c r="O163" i="1" s="1"/>
  <c r="R163" i="1" s="1"/>
  <c r="U163" i="1" s="1"/>
  <c r="Q165" i="1"/>
  <c r="L165" i="1"/>
  <c r="O165" i="1" s="1"/>
  <c r="R165" i="1" s="1"/>
  <c r="U165" i="1" s="1"/>
  <c r="I170" i="1"/>
  <c r="I169" i="1"/>
  <c r="I168" i="1"/>
  <c r="T158" i="1" l="1"/>
  <c r="I167" i="1"/>
  <c r="I157" i="1"/>
  <c r="I156" i="1"/>
  <c r="I155" i="1"/>
  <c r="I154" i="1"/>
  <c r="Q154" i="1"/>
  <c r="L154" i="1"/>
  <c r="O154" i="1" s="1"/>
  <c r="R154" i="1" s="1"/>
  <c r="U154" i="1" s="1"/>
  <c r="I153" i="1"/>
  <c r="I152" i="1"/>
  <c r="I151" i="1"/>
  <c r="S151" i="1"/>
  <c r="T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G128" i="1"/>
  <c r="I127" i="1"/>
  <c r="I126" i="1"/>
  <c r="I125" i="1"/>
  <c r="T128" i="1" l="1"/>
  <c r="S128" i="1"/>
  <c r="T167" i="1"/>
  <c r="S167" i="1"/>
  <c r="I118" i="1"/>
  <c r="I117" i="1"/>
  <c r="I116" i="1"/>
  <c r="I114" i="1"/>
  <c r="I115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Q170" i="1"/>
  <c r="Q169" i="1"/>
  <c r="Q168" i="1"/>
  <c r="Q167" i="1"/>
  <c r="Q166" i="1"/>
  <c r="Q158" i="1"/>
  <c r="Q157" i="1"/>
  <c r="Q156" i="1"/>
  <c r="Q155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D96" i="1"/>
  <c r="L96" i="1"/>
  <c r="O96" i="1" s="1"/>
  <c r="R96" i="1" s="1"/>
  <c r="U96" i="1" s="1"/>
  <c r="L97" i="1"/>
  <c r="O97" i="1" s="1"/>
  <c r="R97" i="1" s="1"/>
  <c r="U97" i="1" s="1"/>
  <c r="L98" i="1"/>
  <c r="O98" i="1" s="1"/>
  <c r="R98" i="1" s="1"/>
  <c r="U98" i="1" s="1"/>
  <c r="L99" i="1"/>
  <c r="O99" i="1" s="1"/>
  <c r="R99" i="1" s="1"/>
  <c r="U99" i="1" s="1"/>
  <c r="L100" i="1"/>
  <c r="O100" i="1" s="1"/>
  <c r="R100" i="1" s="1"/>
  <c r="U100" i="1" s="1"/>
  <c r="L101" i="1"/>
  <c r="O101" i="1" s="1"/>
  <c r="R101" i="1" s="1"/>
  <c r="U101" i="1" s="1"/>
  <c r="L102" i="1"/>
  <c r="O102" i="1" s="1"/>
  <c r="R102" i="1" s="1"/>
  <c r="U102" i="1" s="1"/>
  <c r="L103" i="1"/>
  <c r="O103" i="1" s="1"/>
  <c r="R103" i="1" s="1"/>
  <c r="U103" i="1" s="1"/>
  <c r="L104" i="1"/>
  <c r="O104" i="1" s="1"/>
  <c r="R104" i="1" s="1"/>
  <c r="U104" i="1" s="1"/>
  <c r="L105" i="1"/>
  <c r="O105" i="1" s="1"/>
  <c r="R105" i="1" s="1"/>
  <c r="U105" i="1" s="1"/>
  <c r="L106" i="1"/>
  <c r="O106" i="1" s="1"/>
  <c r="R106" i="1" s="1"/>
  <c r="U106" i="1" s="1"/>
  <c r="L107" i="1"/>
  <c r="O107" i="1" s="1"/>
  <c r="R107" i="1" s="1"/>
  <c r="U107" i="1" s="1"/>
  <c r="L108" i="1"/>
  <c r="O108" i="1" s="1"/>
  <c r="R108" i="1" s="1"/>
  <c r="U108" i="1" s="1"/>
  <c r="L109" i="1"/>
  <c r="O109" i="1" s="1"/>
  <c r="R109" i="1" s="1"/>
  <c r="U109" i="1" s="1"/>
  <c r="L110" i="1"/>
  <c r="O110" i="1" s="1"/>
  <c r="R110" i="1" s="1"/>
  <c r="U110" i="1" s="1"/>
  <c r="L111" i="1"/>
  <c r="O111" i="1" s="1"/>
  <c r="R111" i="1" s="1"/>
  <c r="U111" i="1" s="1"/>
  <c r="L112" i="1"/>
  <c r="O112" i="1" s="1"/>
  <c r="R112" i="1" s="1"/>
  <c r="U112" i="1" s="1"/>
  <c r="L113" i="1"/>
  <c r="O113" i="1" s="1"/>
  <c r="R113" i="1" s="1"/>
  <c r="U113" i="1" s="1"/>
  <c r="L114" i="1"/>
  <c r="O114" i="1" s="1"/>
  <c r="R114" i="1" s="1"/>
  <c r="U114" i="1" s="1"/>
  <c r="L115" i="1"/>
  <c r="O115" i="1" s="1"/>
  <c r="R115" i="1" s="1"/>
  <c r="U115" i="1" s="1"/>
  <c r="L116" i="1"/>
  <c r="O116" i="1" s="1"/>
  <c r="R116" i="1" s="1"/>
  <c r="U116" i="1" s="1"/>
  <c r="L117" i="1"/>
  <c r="O117" i="1" s="1"/>
  <c r="R117" i="1" s="1"/>
  <c r="U117" i="1" s="1"/>
  <c r="L118" i="1"/>
  <c r="O118" i="1" s="1"/>
  <c r="R118" i="1" s="1"/>
  <c r="U118" i="1" s="1"/>
  <c r="L119" i="1"/>
  <c r="O119" i="1" s="1"/>
  <c r="R119" i="1" s="1"/>
  <c r="U119" i="1" s="1"/>
  <c r="L120" i="1"/>
  <c r="O120" i="1" s="1"/>
  <c r="R120" i="1" s="1"/>
  <c r="U120" i="1" s="1"/>
  <c r="L121" i="1"/>
  <c r="O121" i="1" s="1"/>
  <c r="R121" i="1" s="1"/>
  <c r="U121" i="1" s="1"/>
  <c r="L122" i="1"/>
  <c r="O122" i="1" s="1"/>
  <c r="R122" i="1" s="1"/>
  <c r="U122" i="1" s="1"/>
  <c r="L123" i="1"/>
  <c r="O123" i="1" s="1"/>
  <c r="R123" i="1" s="1"/>
  <c r="U123" i="1" s="1"/>
  <c r="L124" i="1"/>
  <c r="O124" i="1" s="1"/>
  <c r="R124" i="1" s="1"/>
  <c r="U124" i="1" s="1"/>
  <c r="L125" i="1"/>
  <c r="O125" i="1" s="1"/>
  <c r="R125" i="1" s="1"/>
  <c r="U125" i="1" s="1"/>
  <c r="L126" i="1"/>
  <c r="O126" i="1" s="1"/>
  <c r="R126" i="1" s="1"/>
  <c r="U126" i="1" s="1"/>
  <c r="L127" i="1"/>
  <c r="O127" i="1" s="1"/>
  <c r="R127" i="1" s="1"/>
  <c r="U127" i="1" s="1"/>
  <c r="L128" i="1"/>
  <c r="O128" i="1" s="1"/>
  <c r="R128" i="1" s="1"/>
  <c r="L129" i="1"/>
  <c r="O129" i="1" s="1"/>
  <c r="R129" i="1" s="1"/>
  <c r="U129" i="1" s="1"/>
  <c r="L130" i="1"/>
  <c r="O130" i="1" s="1"/>
  <c r="R130" i="1" s="1"/>
  <c r="U130" i="1" s="1"/>
  <c r="L131" i="1"/>
  <c r="O131" i="1" s="1"/>
  <c r="R131" i="1" s="1"/>
  <c r="U131" i="1" s="1"/>
  <c r="L132" i="1"/>
  <c r="O132" i="1" s="1"/>
  <c r="R132" i="1" s="1"/>
  <c r="U132" i="1" s="1"/>
  <c r="L133" i="1"/>
  <c r="O133" i="1" s="1"/>
  <c r="R133" i="1" s="1"/>
  <c r="U133" i="1" s="1"/>
  <c r="L134" i="1"/>
  <c r="O134" i="1" s="1"/>
  <c r="R134" i="1" s="1"/>
  <c r="U134" i="1" s="1"/>
  <c r="L135" i="1"/>
  <c r="O135" i="1" s="1"/>
  <c r="R135" i="1" s="1"/>
  <c r="U135" i="1" s="1"/>
  <c r="L136" i="1"/>
  <c r="O136" i="1" s="1"/>
  <c r="R136" i="1" s="1"/>
  <c r="U136" i="1" s="1"/>
  <c r="L137" i="1"/>
  <c r="O137" i="1" s="1"/>
  <c r="R137" i="1" s="1"/>
  <c r="U137" i="1" s="1"/>
  <c r="L138" i="1"/>
  <c r="O138" i="1" s="1"/>
  <c r="R138" i="1" s="1"/>
  <c r="U138" i="1" s="1"/>
  <c r="L139" i="1"/>
  <c r="O139" i="1" s="1"/>
  <c r="R139" i="1" s="1"/>
  <c r="U139" i="1" s="1"/>
  <c r="L140" i="1"/>
  <c r="O140" i="1" s="1"/>
  <c r="R140" i="1" s="1"/>
  <c r="U140" i="1" s="1"/>
  <c r="L141" i="1"/>
  <c r="O141" i="1" s="1"/>
  <c r="R141" i="1" s="1"/>
  <c r="U141" i="1" s="1"/>
  <c r="L142" i="1"/>
  <c r="O142" i="1" s="1"/>
  <c r="R142" i="1" s="1"/>
  <c r="U142" i="1" s="1"/>
  <c r="L143" i="1"/>
  <c r="O143" i="1" s="1"/>
  <c r="R143" i="1" s="1"/>
  <c r="U143" i="1" s="1"/>
  <c r="L144" i="1"/>
  <c r="O144" i="1" s="1"/>
  <c r="R144" i="1" s="1"/>
  <c r="U144" i="1" s="1"/>
  <c r="L145" i="1"/>
  <c r="O145" i="1" s="1"/>
  <c r="R145" i="1" s="1"/>
  <c r="U145" i="1" s="1"/>
  <c r="L146" i="1"/>
  <c r="O146" i="1" s="1"/>
  <c r="R146" i="1" s="1"/>
  <c r="U146" i="1" s="1"/>
  <c r="L147" i="1"/>
  <c r="O147" i="1" s="1"/>
  <c r="R147" i="1" s="1"/>
  <c r="U147" i="1" s="1"/>
  <c r="L148" i="1"/>
  <c r="O148" i="1" s="1"/>
  <c r="R148" i="1" s="1"/>
  <c r="U148" i="1" s="1"/>
  <c r="L149" i="1"/>
  <c r="O149" i="1" s="1"/>
  <c r="R149" i="1" s="1"/>
  <c r="U149" i="1" s="1"/>
  <c r="L150" i="1"/>
  <c r="O150" i="1" s="1"/>
  <c r="R150" i="1" s="1"/>
  <c r="U150" i="1" s="1"/>
  <c r="L151" i="1"/>
  <c r="O151" i="1" s="1"/>
  <c r="R151" i="1" s="1"/>
  <c r="U151" i="1" s="1"/>
  <c r="L152" i="1"/>
  <c r="O152" i="1" s="1"/>
  <c r="R152" i="1" s="1"/>
  <c r="U152" i="1" s="1"/>
  <c r="L153" i="1"/>
  <c r="O153" i="1" s="1"/>
  <c r="R153" i="1" s="1"/>
  <c r="U153" i="1" s="1"/>
  <c r="L155" i="1"/>
  <c r="O155" i="1" s="1"/>
  <c r="R155" i="1" s="1"/>
  <c r="U155" i="1" s="1"/>
  <c r="L156" i="1"/>
  <c r="O156" i="1" s="1"/>
  <c r="R156" i="1" s="1"/>
  <c r="U156" i="1" s="1"/>
  <c r="L157" i="1"/>
  <c r="O157" i="1" s="1"/>
  <c r="R157" i="1" s="1"/>
  <c r="U157" i="1" s="1"/>
  <c r="L158" i="1"/>
  <c r="O158" i="1" s="1"/>
  <c r="R158" i="1" s="1"/>
  <c r="U158" i="1" s="1"/>
  <c r="L166" i="1"/>
  <c r="O166" i="1" s="1"/>
  <c r="R166" i="1" s="1"/>
  <c r="U166" i="1" s="1"/>
  <c r="L167" i="1"/>
  <c r="O167" i="1" s="1"/>
  <c r="R167" i="1" s="1"/>
  <c r="L168" i="1"/>
  <c r="O168" i="1" s="1"/>
  <c r="R168" i="1" s="1"/>
  <c r="U168" i="1" s="1"/>
  <c r="L169" i="1"/>
  <c r="O169" i="1" s="1"/>
  <c r="R169" i="1" s="1"/>
  <c r="U169" i="1" s="1"/>
  <c r="L170" i="1"/>
  <c r="O170" i="1" s="1"/>
  <c r="R170" i="1" s="1"/>
  <c r="U170" i="1" s="1"/>
  <c r="I96" i="1"/>
  <c r="U128" i="1" l="1"/>
  <c r="U167" i="1"/>
  <c r="T89" i="1" l="1"/>
  <c r="S89" i="1"/>
  <c r="Q89" i="1"/>
  <c r="L89" i="1"/>
  <c r="O89" i="1" s="1"/>
  <c r="R89" i="1" s="1"/>
  <c r="D89" i="1"/>
  <c r="T88" i="1"/>
  <c r="S88" i="1"/>
  <c r="Q88" i="1"/>
  <c r="L88" i="1"/>
  <c r="O88" i="1" s="1"/>
  <c r="R88" i="1" s="1"/>
  <c r="D88" i="1"/>
  <c r="U89" i="1" l="1"/>
  <c r="U88" i="1"/>
  <c r="T58" i="1" l="1"/>
  <c r="S58" i="1"/>
  <c r="Q58" i="1"/>
  <c r="L58" i="1"/>
  <c r="O58" i="1" s="1"/>
  <c r="R58" i="1" s="1"/>
  <c r="I58" i="1"/>
  <c r="D58" i="1"/>
  <c r="U58" i="1" l="1"/>
  <c r="L253" i="1" l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95" i="1"/>
  <c r="L94" i="1"/>
  <c r="L93" i="1"/>
  <c r="L92" i="1"/>
  <c r="L91" i="1"/>
  <c r="L90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O10" i="1" s="1"/>
  <c r="R10" i="1" s="1"/>
  <c r="L9" i="1"/>
  <c r="L8" i="1"/>
  <c r="T10" i="1"/>
  <c r="S10" i="1"/>
  <c r="Q10" i="1"/>
  <c r="I10" i="1"/>
  <c r="D10" i="1"/>
  <c r="U10" i="1" l="1"/>
  <c r="S238" i="1"/>
  <c r="S239" i="1"/>
  <c r="T238" i="1"/>
  <c r="D187" i="1" l="1"/>
  <c r="T245" i="1" l="1"/>
  <c r="I245" i="1" l="1"/>
  <c r="S245" i="1"/>
  <c r="T86" i="1"/>
  <c r="S86" i="1"/>
  <c r="D245" i="1"/>
  <c r="O245" i="1"/>
  <c r="R245" i="1" s="1"/>
  <c r="U245" i="1" s="1"/>
  <c r="Q245" i="1"/>
  <c r="T252" i="1" l="1"/>
  <c r="S252" i="1"/>
  <c r="Q252" i="1"/>
  <c r="O252" i="1"/>
  <c r="R252" i="1" s="1"/>
  <c r="D252" i="1"/>
  <c r="T251" i="1"/>
  <c r="S251" i="1"/>
  <c r="Q251" i="1"/>
  <c r="O251" i="1"/>
  <c r="R251" i="1" s="1"/>
  <c r="D251" i="1"/>
  <c r="G214" i="1"/>
  <c r="S214" i="1" s="1"/>
  <c r="T214" i="1"/>
  <c r="Q214" i="1"/>
  <c r="O214" i="1"/>
  <c r="R214" i="1" s="1"/>
  <c r="D214" i="1"/>
  <c r="U252" i="1" l="1"/>
  <c r="U214" i="1"/>
  <c r="U251" i="1"/>
  <c r="G217" i="1"/>
  <c r="G216" i="1"/>
  <c r="G215" i="1"/>
  <c r="T250" i="1"/>
  <c r="S250" i="1"/>
  <c r="Q250" i="1"/>
  <c r="O250" i="1"/>
  <c r="R250" i="1" s="1"/>
  <c r="D250" i="1"/>
  <c r="T253" i="1"/>
  <c r="S253" i="1"/>
  <c r="T249" i="1"/>
  <c r="S249" i="1"/>
  <c r="S247" i="1"/>
  <c r="G248" i="1"/>
  <c r="S248" i="1" s="1"/>
  <c r="T203" i="1"/>
  <c r="S203" i="1"/>
  <c r="T247" i="1"/>
  <c r="T246" i="1"/>
  <c r="S246" i="1"/>
  <c r="T244" i="1"/>
  <c r="S244" i="1"/>
  <c r="S243" i="1"/>
  <c r="T243" i="1"/>
  <c r="T242" i="1"/>
  <c r="S242" i="1"/>
  <c r="G240" i="1"/>
  <c r="T241" i="1"/>
  <c r="S241" i="1"/>
  <c r="I241" i="1"/>
  <c r="G241" i="1"/>
  <c r="T240" i="1"/>
  <c r="S240" i="1"/>
  <c r="T239" i="1"/>
  <c r="I240" i="1"/>
  <c r="T237" i="1"/>
  <c r="S237" i="1"/>
  <c r="G235" i="1"/>
  <c r="T235" i="1"/>
  <c r="S235" i="1"/>
  <c r="T234" i="1"/>
  <c r="S234" i="1"/>
  <c r="G234" i="1"/>
  <c r="U250" i="1" l="1"/>
  <c r="T248" i="1"/>
  <c r="T187" i="1"/>
  <c r="S187" i="1"/>
  <c r="S186" i="1"/>
  <c r="Q187" i="1"/>
  <c r="O187" i="1"/>
  <c r="R187" i="1" s="1"/>
  <c r="D239" i="1"/>
  <c r="I239" i="1"/>
  <c r="O239" i="1"/>
  <c r="R239" i="1" s="1"/>
  <c r="U239" i="1" s="1"/>
  <c r="Q239" i="1"/>
  <c r="U187" i="1" l="1"/>
  <c r="T233" i="1"/>
  <c r="S233" i="1"/>
  <c r="T232" i="1"/>
  <c r="S232" i="1"/>
  <c r="T231" i="1"/>
  <c r="S231" i="1"/>
  <c r="T230" i="1"/>
  <c r="S230" i="1"/>
  <c r="I230" i="1"/>
  <c r="T229" i="1"/>
  <c r="S229" i="1"/>
  <c r="T228" i="1"/>
  <c r="S228" i="1"/>
  <c r="T227" i="1"/>
  <c r="S227" i="1"/>
  <c r="T226" i="1"/>
  <c r="S226" i="1"/>
  <c r="T225" i="1"/>
  <c r="S225" i="1"/>
  <c r="S224" i="1"/>
  <c r="T224" i="1"/>
  <c r="T223" i="1"/>
  <c r="S223" i="1"/>
  <c r="S222" i="1"/>
  <c r="T221" i="1"/>
  <c r="S221" i="1"/>
  <c r="T220" i="1"/>
  <c r="S220" i="1"/>
  <c r="T219" i="1"/>
  <c r="T218" i="1"/>
  <c r="S219" i="1"/>
  <c r="S218" i="1"/>
  <c r="T217" i="1"/>
  <c r="S217" i="1"/>
  <c r="I217" i="1"/>
  <c r="T216" i="1"/>
  <c r="S216" i="1"/>
  <c r="T215" i="1"/>
  <c r="S215" i="1"/>
  <c r="S213" i="1" l="1"/>
  <c r="T213" i="1"/>
  <c r="Q213" i="1"/>
  <c r="O213" i="1"/>
  <c r="R213" i="1" s="1"/>
  <c r="D213" i="1"/>
  <c r="T212" i="1"/>
  <c r="S212" i="1"/>
  <c r="T211" i="1"/>
  <c r="S210" i="1"/>
  <c r="I211" i="1"/>
  <c r="I210" i="1"/>
  <c r="S209" i="1"/>
  <c r="T209" i="1"/>
  <c r="T208" i="1"/>
  <c r="S208" i="1"/>
  <c r="I209" i="1"/>
  <c r="I208" i="1"/>
  <c r="T207" i="1"/>
  <c r="S207" i="1"/>
  <c r="S205" i="1"/>
  <c r="T205" i="1"/>
  <c r="I205" i="1"/>
  <c r="T204" i="1"/>
  <c r="S204" i="1"/>
  <c r="I204" i="1"/>
  <c r="T190" i="1"/>
  <c r="T191" i="1"/>
  <c r="T192" i="1"/>
  <c r="T193" i="1"/>
  <c r="T194" i="1"/>
  <c r="T195" i="1"/>
  <c r="T196" i="1"/>
  <c r="T197" i="1"/>
  <c r="T198" i="1"/>
  <c r="T199" i="1"/>
  <c r="T200" i="1"/>
  <c r="T189" i="1"/>
  <c r="S190" i="1"/>
  <c r="S191" i="1"/>
  <c r="S192" i="1"/>
  <c r="S193" i="1"/>
  <c r="S194" i="1"/>
  <c r="S195" i="1"/>
  <c r="S196" i="1"/>
  <c r="S197" i="1"/>
  <c r="S198" i="1"/>
  <c r="S199" i="1"/>
  <c r="S200" i="1"/>
  <c r="S189" i="1"/>
  <c r="S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O191" i="1"/>
  <c r="R191" i="1" s="1"/>
  <c r="U191" i="1" s="1"/>
  <c r="O192" i="1"/>
  <c r="R192" i="1" s="1"/>
  <c r="U192" i="1" s="1"/>
  <c r="O193" i="1"/>
  <c r="R193" i="1" s="1"/>
  <c r="U193" i="1" s="1"/>
  <c r="O194" i="1"/>
  <c r="R194" i="1" s="1"/>
  <c r="U194" i="1" s="1"/>
  <c r="O195" i="1"/>
  <c r="R195" i="1" s="1"/>
  <c r="U195" i="1" s="1"/>
  <c r="O196" i="1"/>
  <c r="R196" i="1" s="1"/>
  <c r="U196" i="1" s="1"/>
  <c r="O197" i="1"/>
  <c r="R197" i="1" s="1"/>
  <c r="U197" i="1" s="1"/>
  <c r="O198" i="1"/>
  <c r="R198" i="1" s="1"/>
  <c r="U198" i="1" s="1"/>
  <c r="O199" i="1"/>
  <c r="R199" i="1" s="1"/>
  <c r="U199" i="1" s="1"/>
  <c r="O200" i="1"/>
  <c r="R200" i="1" s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8" i="1"/>
  <c r="U213" i="1" l="1"/>
  <c r="U200" i="1"/>
  <c r="D200" i="1" l="1"/>
  <c r="D199" i="1"/>
  <c r="D198" i="1"/>
  <c r="D197" i="1"/>
  <c r="D196" i="1"/>
  <c r="D195" i="1"/>
  <c r="D194" i="1"/>
  <c r="D193" i="1"/>
  <c r="D192" i="1"/>
  <c r="D191" i="1"/>
  <c r="D190" i="1"/>
  <c r="O190" i="1"/>
  <c r="R190" i="1" s="1"/>
  <c r="U190" i="1" s="1"/>
  <c r="O189" i="1"/>
  <c r="R189" i="1" s="1"/>
  <c r="U189" i="1" s="1"/>
  <c r="D189" i="1"/>
  <c r="D201" i="1" l="1"/>
  <c r="I201" i="1"/>
  <c r="O201" i="1"/>
  <c r="R201" i="1" s="1"/>
  <c r="Q201" i="1"/>
  <c r="S201" i="1"/>
  <c r="T201" i="1"/>
  <c r="D202" i="1"/>
  <c r="I202" i="1"/>
  <c r="S202" i="1"/>
  <c r="T202" i="1"/>
  <c r="D204" i="1"/>
  <c r="O204" i="1"/>
  <c r="R204" i="1" s="1"/>
  <c r="U204" i="1" s="1"/>
  <c r="Q204" i="1"/>
  <c r="D205" i="1"/>
  <c r="O205" i="1"/>
  <c r="R205" i="1" s="1"/>
  <c r="U205" i="1" s="1"/>
  <c r="Q205" i="1"/>
  <c r="D206" i="1"/>
  <c r="Q206" i="1"/>
  <c r="O206" i="1" l="1"/>
  <c r="R206" i="1" s="1"/>
  <c r="U206" i="1" s="1"/>
  <c r="U201" i="1"/>
  <c r="I184" i="1"/>
  <c r="T188" i="1"/>
  <c r="I188" i="1"/>
  <c r="G188" i="1"/>
  <c r="T186" i="1"/>
  <c r="G186" i="1"/>
  <c r="T185" i="1"/>
  <c r="S185" i="1"/>
  <c r="G185" i="1"/>
  <c r="T184" i="1"/>
  <c r="S184" i="1"/>
  <c r="G184" i="1"/>
  <c r="G183" i="1"/>
  <c r="T183" i="1" s="1"/>
  <c r="G182" i="1"/>
  <c r="T182" i="1" s="1"/>
  <c r="G181" i="1"/>
  <c r="S181" i="1" s="1"/>
  <c r="G180" i="1"/>
  <c r="S180" i="1" s="1"/>
  <c r="Q179" i="1"/>
  <c r="T179" i="1"/>
  <c r="S179" i="1"/>
  <c r="T178" i="1"/>
  <c r="S178" i="1"/>
  <c r="O179" i="1"/>
  <c r="R179" i="1" s="1"/>
  <c r="G178" i="1"/>
  <c r="G179" i="1"/>
  <c r="T177" i="1"/>
  <c r="S177" i="1"/>
  <c r="Q177" i="1"/>
  <c r="T176" i="1"/>
  <c r="S176" i="1"/>
  <c r="G177" i="1"/>
  <c r="G176" i="1"/>
  <c r="O177" i="1"/>
  <c r="R177" i="1" s="1"/>
  <c r="I177" i="1"/>
  <c r="I176" i="1"/>
  <c r="G175" i="1"/>
  <c r="T175" i="1" s="1"/>
  <c r="Q174" i="1"/>
  <c r="T174" i="1"/>
  <c r="S174" i="1"/>
  <c r="T173" i="1"/>
  <c r="S173" i="1"/>
  <c r="O174" i="1"/>
  <c r="R174" i="1" s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90" i="1"/>
  <c r="D91" i="1"/>
  <c r="D92" i="1"/>
  <c r="D93" i="1"/>
  <c r="D94" i="1"/>
  <c r="D95" i="1"/>
  <c r="D171" i="1"/>
  <c r="D172" i="1"/>
  <c r="D173" i="1"/>
  <c r="D207" i="1"/>
  <c r="D208" i="1"/>
  <c r="D209" i="1"/>
  <c r="D210" i="1"/>
  <c r="D211" i="1"/>
  <c r="D212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40" i="1"/>
  <c r="D241" i="1"/>
  <c r="D242" i="1"/>
  <c r="D243" i="1"/>
  <c r="D244" i="1"/>
  <c r="D246" i="1"/>
  <c r="D247" i="1"/>
  <c r="D203" i="1"/>
  <c r="D248" i="1"/>
  <c r="D249" i="1"/>
  <c r="D253" i="1"/>
  <c r="U177" i="1" l="1"/>
  <c r="U174" i="1"/>
  <c r="U179" i="1"/>
  <c r="T180" i="1"/>
  <c r="S175" i="1"/>
  <c r="S182" i="1"/>
  <c r="T181" i="1"/>
  <c r="S183" i="1"/>
  <c r="Q248" i="1" l="1"/>
  <c r="O248" i="1"/>
  <c r="R248" i="1" s="1"/>
  <c r="U248" i="1" s="1"/>
  <c r="Q249" i="1"/>
  <c r="O249" i="1"/>
  <c r="R249" i="1" s="1"/>
  <c r="U249" i="1" s="1"/>
  <c r="Q212" i="1"/>
  <c r="Q235" i="1"/>
  <c r="O235" i="1"/>
  <c r="R235" i="1" s="1"/>
  <c r="U235" i="1" s="1"/>
  <c r="Q209" i="1"/>
  <c r="O209" i="1"/>
  <c r="R209" i="1" s="1"/>
  <c r="U209" i="1" s="1"/>
  <c r="Q234" i="1"/>
  <c r="Q246" i="1"/>
  <c r="O246" i="1"/>
  <c r="R246" i="1" s="1"/>
  <c r="U246" i="1" s="1"/>
  <c r="Q243" i="1"/>
  <c r="O243" i="1"/>
  <c r="R243" i="1" s="1"/>
  <c r="U243" i="1" s="1"/>
  <c r="Q242" i="1"/>
  <c r="O242" i="1"/>
  <c r="R242" i="1" s="1"/>
  <c r="U242" i="1" s="1"/>
  <c r="Q231" i="1"/>
  <c r="O231" i="1"/>
  <c r="R231" i="1" s="1"/>
  <c r="U231" i="1" s="1"/>
  <c r="Q230" i="1"/>
  <c r="O230" i="1"/>
  <c r="R230" i="1" s="1"/>
  <c r="U230" i="1" s="1"/>
  <c r="Q247" i="1"/>
  <c r="O247" i="1"/>
  <c r="R247" i="1" s="1"/>
  <c r="U247" i="1" s="1"/>
  <c r="Q237" i="1"/>
  <c r="O237" i="1"/>
  <c r="R237" i="1" s="1"/>
  <c r="U237" i="1" s="1"/>
  <c r="T222" i="1"/>
  <c r="Q222" i="1"/>
  <c r="O234" i="1" l="1"/>
  <c r="R234" i="1" s="1"/>
  <c r="U234" i="1" s="1"/>
  <c r="O222" i="1"/>
  <c r="R222" i="1" s="1"/>
  <c r="U222" i="1" s="1"/>
  <c r="O212" i="1"/>
  <c r="R212" i="1" s="1"/>
  <c r="U212" i="1" s="1"/>
  <c r="Q227" i="1"/>
  <c r="O227" i="1"/>
  <c r="R227" i="1" s="1"/>
  <c r="U227" i="1" s="1"/>
  <c r="Q223" i="1"/>
  <c r="Q224" i="1"/>
  <c r="Q225" i="1"/>
  <c r="Q188" i="1"/>
  <c r="O188" i="1"/>
  <c r="R188" i="1" s="1"/>
  <c r="U188" i="1" s="1"/>
  <c r="Q203" i="1"/>
  <c r="O203" i="1"/>
  <c r="R203" i="1" s="1"/>
  <c r="U203" i="1" s="1"/>
  <c r="Q228" i="1"/>
  <c r="O228" i="1"/>
  <c r="R228" i="1" s="1"/>
  <c r="U228" i="1" s="1"/>
  <c r="Q208" i="1"/>
  <c r="O208" i="1"/>
  <c r="R208" i="1" s="1"/>
  <c r="U208" i="1" s="1"/>
  <c r="Q186" i="1"/>
  <c r="O186" i="1"/>
  <c r="R186" i="1" s="1"/>
  <c r="U186" i="1" s="1"/>
  <c r="Q221" i="1"/>
  <c r="Q217" i="1"/>
  <c r="Q240" i="1"/>
  <c r="O240" i="1"/>
  <c r="R240" i="1" s="1"/>
  <c r="U240" i="1" s="1"/>
  <c r="O241" i="1"/>
  <c r="Q253" i="1"/>
  <c r="O253" i="1"/>
  <c r="R253" i="1" s="1"/>
  <c r="U253" i="1" s="1"/>
  <c r="Q229" i="1"/>
  <c r="O229" i="1"/>
  <c r="R229" i="1" s="1"/>
  <c r="U229" i="1" s="1"/>
  <c r="Q220" i="1"/>
  <c r="Q185" i="1"/>
  <c r="O185" i="1"/>
  <c r="R185" i="1" s="1"/>
  <c r="U185" i="1" s="1"/>
  <c r="Q182" i="1"/>
  <c r="Q183" i="1"/>
  <c r="O182" i="1"/>
  <c r="R182" i="1" s="1"/>
  <c r="U182" i="1" s="1"/>
  <c r="O183" i="1"/>
  <c r="R183" i="1" s="1"/>
  <c r="U183" i="1" s="1"/>
  <c r="Q215" i="1"/>
  <c r="Q216" i="1"/>
  <c r="Q218" i="1"/>
  <c r="Q219" i="1"/>
  <c r="O181" i="1"/>
  <c r="Q178" i="1"/>
  <c r="O178" i="1"/>
  <c r="R178" i="1" s="1"/>
  <c r="U178" i="1" s="1"/>
  <c r="Q176" i="1"/>
  <c r="O176" i="1"/>
  <c r="R176" i="1" s="1"/>
  <c r="U176" i="1" s="1"/>
  <c r="Q173" i="1"/>
  <c r="O173" i="1"/>
  <c r="R173" i="1" s="1"/>
  <c r="U173" i="1" s="1"/>
  <c r="O223" i="1" l="1"/>
  <c r="R223" i="1" s="1"/>
  <c r="U223" i="1" s="1"/>
  <c r="O225" i="1"/>
  <c r="R225" i="1" s="1"/>
  <c r="U225" i="1" s="1"/>
  <c r="O221" i="1"/>
  <c r="R221" i="1" s="1"/>
  <c r="U221" i="1" s="1"/>
  <c r="O224" i="1"/>
  <c r="R224" i="1" s="1"/>
  <c r="U224" i="1" s="1"/>
  <c r="O218" i="1"/>
  <c r="R218" i="1" s="1"/>
  <c r="U218" i="1" s="1"/>
  <c r="O215" i="1"/>
  <c r="R215" i="1" s="1"/>
  <c r="U215" i="1" s="1"/>
  <c r="O220" i="1"/>
  <c r="R220" i="1" s="1"/>
  <c r="U220" i="1" s="1"/>
  <c r="O217" i="1"/>
  <c r="R217" i="1" s="1"/>
  <c r="U217" i="1" s="1"/>
  <c r="O219" i="1"/>
  <c r="R219" i="1" s="1"/>
  <c r="U219" i="1" s="1"/>
  <c r="O216" i="1"/>
  <c r="R216" i="1" s="1"/>
  <c r="U216" i="1" s="1"/>
  <c r="Q181" i="1"/>
  <c r="R181" i="1"/>
  <c r="U181" i="1" s="1"/>
  <c r="Q175" i="1"/>
  <c r="Q180" i="1"/>
  <c r="O180" i="1"/>
  <c r="R180" i="1" s="1"/>
  <c r="U180" i="1" s="1"/>
  <c r="O175" i="1"/>
  <c r="R175" i="1" s="1"/>
  <c r="U175" i="1" s="1"/>
  <c r="T95" i="1" l="1"/>
  <c r="S95" i="1"/>
  <c r="T94" i="1"/>
  <c r="S94" i="1"/>
  <c r="T93" i="1"/>
  <c r="S93" i="1"/>
  <c r="T92" i="1"/>
  <c r="S92" i="1"/>
  <c r="T90" i="1" l="1"/>
  <c r="S90" i="1"/>
  <c r="I90" i="1"/>
  <c r="T87" i="1"/>
  <c r="S79" i="1"/>
  <c r="T79" i="1"/>
  <c r="S77" i="1"/>
  <c r="O77" i="1"/>
  <c r="T91" i="1"/>
  <c r="S91" i="1"/>
  <c r="Q90" i="1"/>
  <c r="Q91" i="1"/>
  <c r="Q92" i="1"/>
  <c r="Q93" i="1"/>
  <c r="Q94" i="1"/>
  <c r="Q95" i="1"/>
  <c r="O90" i="1"/>
  <c r="R90" i="1" s="1"/>
  <c r="O91" i="1"/>
  <c r="R91" i="1" s="1"/>
  <c r="O92" i="1"/>
  <c r="R92" i="1" s="1"/>
  <c r="U92" i="1" s="1"/>
  <c r="O93" i="1"/>
  <c r="R93" i="1" s="1"/>
  <c r="U93" i="1" s="1"/>
  <c r="O94" i="1"/>
  <c r="R94" i="1" s="1"/>
  <c r="U94" i="1" s="1"/>
  <c r="O95" i="1"/>
  <c r="R95" i="1" s="1"/>
  <c r="U95" i="1" s="1"/>
  <c r="Q79" i="1"/>
  <c r="O79" i="1"/>
  <c r="R79" i="1" s="1"/>
  <c r="I62" i="1"/>
  <c r="T66" i="1"/>
  <c r="S66" i="1"/>
  <c r="Q66" i="1"/>
  <c r="O66" i="1"/>
  <c r="R66" i="1" s="1"/>
  <c r="T64" i="1"/>
  <c r="S64" i="1"/>
  <c r="T51" i="1"/>
  <c r="S51" i="1"/>
  <c r="I52" i="1"/>
  <c r="I51" i="1"/>
  <c r="T52" i="1"/>
  <c r="S52" i="1"/>
  <c r="Q52" i="1"/>
  <c r="O52" i="1"/>
  <c r="R52" i="1" s="1"/>
  <c r="Q51" i="1"/>
  <c r="U91" i="1" l="1"/>
  <c r="U90" i="1"/>
  <c r="U79" i="1"/>
  <c r="U52" i="1"/>
  <c r="U66" i="1"/>
  <c r="Q64" i="1"/>
  <c r="O64" i="1"/>
  <c r="R64" i="1" s="1"/>
  <c r="U64" i="1" s="1"/>
  <c r="O65" i="1"/>
  <c r="I44" i="1"/>
  <c r="S44" i="1" s="1"/>
  <c r="I43" i="1"/>
  <c r="T43" i="1" s="1"/>
  <c r="Q40" i="1"/>
  <c r="O40" i="1"/>
  <c r="R40" i="1" s="1"/>
  <c r="I40" i="1"/>
  <c r="T40" i="1" s="1"/>
  <c r="Q39" i="1"/>
  <c r="O39" i="1"/>
  <c r="R39" i="1" s="1"/>
  <c r="I39" i="1"/>
  <c r="T39" i="1" s="1"/>
  <c r="Q38" i="1"/>
  <c r="O38" i="1"/>
  <c r="R38" i="1" s="1"/>
  <c r="I38" i="1"/>
  <c r="T38" i="1" s="1"/>
  <c r="Q37" i="1"/>
  <c r="O37" i="1"/>
  <c r="R37" i="1" s="1"/>
  <c r="I37" i="1"/>
  <c r="S37" i="1" s="1"/>
  <c r="Q36" i="1"/>
  <c r="O36" i="1"/>
  <c r="R36" i="1" s="1"/>
  <c r="I36" i="1"/>
  <c r="T36" i="1" s="1"/>
  <c r="O44" i="1"/>
  <c r="R44" i="1" s="1"/>
  <c r="O51" i="1"/>
  <c r="R51" i="1" s="1"/>
  <c r="U51" i="1" s="1"/>
  <c r="Q44" i="1"/>
  <c r="O34" i="1"/>
  <c r="R34" i="1" s="1"/>
  <c r="O35" i="1"/>
  <c r="R35" i="1" s="1"/>
  <c r="Q34" i="1"/>
  <c r="Q35" i="1"/>
  <c r="I32" i="1"/>
  <c r="T32" i="1" s="1"/>
  <c r="I33" i="1"/>
  <c r="T33" i="1" s="1"/>
  <c r="I34" i="1"/>
  <c r="S34" i="1" s="1"/>
  <c r="I35" i="1"/>
  <c r="T35" i="1" s="1"/>
  <c r="I31" i="1"/>
  <c r="Q33" i="1"/>
  <c r="Q32" i="1"/>
  <c r="O32" i="1"/>
  <c r="R32" i="1" s="1"/>
  <c r="T29" i="1"/>
  <c r="S28" i="1"/>
  <c r="T28" i="1"/>
  <c r="S29" i="1"/>
  <c r="Q28" i="1"/>
  <c r="Q29" i="1"/>
  <c r="O28" i="1"/>
  <c r="R28" i="1" s="1"/>
  <c r="O29" i="1"/>
  <c r="R29" i="1" s="1"/>
  <c r="T27" i="1"/>
  <c r="S26" i="1"/>
  <c r="S27" i="1"/>
  <c r="Q26" i="1"/>
  <c r="O26" i="1"/>
  <c r="R26" i="1" s="1"/>
  <c r="Q24" i="1"/>
  <c r="O24" i="1"/>
  <c r="R24" i="1" s="1"/>
  <c r="U24" i="1" s="1"/>
  <c r="Q8" i="1"/>
  <c r="O8" i="1"/>
  <c r="R8" i="1" s="1"/>
  <c r="U8" i="1" s="1"/>
  <c r="U28" i="1" l="1"/>
  <c r="U29" i="1"/>
  <c r="U26" i="1"/>
  <c r="S43" i="1"/>
  <c r="S35" i="1"/>
  <c r="U35" i="1" s="1"/>
  <c r="S33" i="1"/>
  <c r="S38" i="1"/>
  <c r="U38" i="1" s="1"/>
  <c r="S39" i="1"/>
  <c r="U39" i="1" s="1"/>
  <c r="T44" i="1"/>
  <c r="U44" i="1" s="1"/>
  <c r="T37" i="1"/>
  <c r="U37" i="1" s="1"/>
  <c r="O33" i="1"/>
  <c r="R33" i="1" s="1"/>
  <c r="T34" i="1"/>
  <c r="U34" i="1" s="1"/>
  <c r="S40" i="1"/>
  <c r="U40" i="1" s="1"/>
  <c r="S36" i="1"/>
  <c r="U36" i="1" s="1"/>
  <c r="S32" i="1"/>
  <c r="U32" i="1" s="1"/>
  <c r="I92" i="1"/>
  <c r="U33" i="1" l="1"/>
  <c r="I8" i="1"/>
  <c r="T72" i="1" l="1"/>
  <c r="S72" i="1"/>
  <c r="Q72" i="1"/>
  <c r="O72" i="1"/>
  <c r="R72" i="1" s="1"/>
  <c r="U72" i="1" l="1"/>
  <c r="S87" i="1"/>
  <c r="T78" i="1"/>
  <c r="S78" i="1"/>
  <c r="T77" i="1"/>
  <c r="T75" i="1"/>
  <c r="S75" i="1"/>
  <c r="T74" i="1"/>
  <c r="S74" i="1"/>
  <c r="T73" i="1"/>
  <c r="S73" i="1"/>
  <c r="T71" i="1"/>
  <c r="S71" i="1"/>
  <c r="T70" i="1"/>
  <c r="T69" i="1"/>
  <c r="T68" i="1"/>
  <c r="T67" i="1"/>
  <c r="S65" i="1"/>
  <c r="T62" i="1"/>
  <c r="S62" i="1"/>
  <c r="I57" i="1"/>
  <c r="I56" i="1"/>
  <c r="I55" i="1"/>
  <c r="I54" i="1"/>
  <c r="T54" i="1" s="1"/>
  <c r="I53" i="1"/>
  <c r="S53" i="1" s="1"/>
  <c r="T46" i="1"/>
  <c r="S46" i="1"/>
  <c r="I46" i="1"/>
  <c r="T45" i="1"/>
  <c r="S45" i="1"/>
  <c r="I42" i="1"/>
  <c r="T42" i="1" s="1"/>
  <c r="I41" i="1"/>
  <c r="S41" i="1" s="1"/>
  <c r="O42" i="1"/>
  <c r="R42" i="1" s="1"/>
  <c r="O41" i="1"/>
  <c r="R41" i="1" s="1"/>
  <c r="T30" i="1"/>
  <c r="S30" i="1"/>
  <c r="T21" i="1"/>
  <c r="S21" i="1"/>
  <c r="T20" i="1"/>
  <c r="S20" i="1"/>
  <c r="T23" i="1"/>
  <c r="S23" i="1"/>
  <c r="T22" i="1"/>
  <c r="S22" i="1"/>
  <c r="O23" i="1"/>
  <c r="R23" i="1" s="1"/>
  <c r="O22" i="1"/>
  <c r="R22" i="1" s="1"/>
  <c r="Q75" i="1"/>
  <c r="O75" i="1"/>
  <c r="R75" i="1" s="1"/>
  <c r="Q74" i="1"/>
  <c r="O74" i="1"/>
  <c r="R74" i="1" s="1"/>
  <c r="Q73" i="1"/>
  <c r="O73" i="1"/>
  <c r="R73" i="1" s="1"/>
  <c r="Q71" i="1"/>
  <c r="O71" i="1"/>
  <c r="R71" i="1" s="1"/>
  <c r="Q62" i="1"/>
  <c r="O62" i="1"/>
  <c r="R62" i="1" s="1"/>
  <c r="U62" i="1" s="1"/>
  <c r="Q46" i="1"/>
  <c r="O46" i="1"/>
  <c r="R46" i="1" s="1"/>
  <c r="Q42" i="1"/>
  <c r="Q41" i="1"/>
  <c r="Q23" i="1"/>
  <c r="Q22" i="1"/>
  <c r="Q21" i="1"/>
  <c r="Q20" i="1"/>
  <c r="Q11" i="1"/>
  <c r="O11" i="1"/>
  <c r="R11" i="1" s="1"/>
  <c r="U11" i="1" s="1"/>
  <c r="I11" i="1"/>
  <c r="U73" i="1" l="1"/>
  <c r="U75" i="1"/>
  <c r="U46" i="1"/>
  <c r="U23" i="1"/>
  <c r="U71" i="1"/>
  <c r="U74" i="1"/>
  <c r="U22" i="1"/>
  <c r="S54" i="1"/>
  <c r="T41" i="1"/>
  <c r="U41" i="1" s="1"/>
  <c r="S42" i="1"/>
  <c r="U42" i="1" s="1"/>
  <c r="T53" i="1"/>
  <c r="T65" i="1"/>
  <c r="Q65" i="1"/>
  <c r="R65" i="1"/>
  <c r="O20" i="1"/>
  <c r="R20" i="1" s="1"/>
  <c r="U20" i="1" s="1"/>
  <c r="O21" i="1"/>
  <c r="R21" i="1" s="1"/>
  <c r="U21" i="1" s="1"/>
  <c r="I21" i="1"/>
  <c r="I20" i="1"/>
  <c r="U65" i="1" l="1"/>
  <c r="Q244" i="1"/>
  <c r="O244" i="1"/>
  <c r="R244" i="1" s="1"/>
  <c r="U244" i="1" s="1"/>
  <c r="I244" i="1"/>
  <c r="T236" i="1" l="1"/>
  <c r="S236" i="1"/>
  <c r="Q236" i="1"/>
  <c r="Q238" i="1"/>
  <c r="Q241" i="1"/>
  <c r="R241" i="1"/>
  <c r="U241" i="1" s="1"/>
  <c r="O238" i="1"/>
  <c r="R238" i="1" s="1"/>
  <c r="U238" i="1" s="1"/>
  <c r="I238" i="1"/>
  <c r="O236" i="1"/>
  <c r="R236" i="1" s="1"/>
  <c r="I236" i="1"/>
  <c r="U236" i="1" l="1"/>
  <c r="O233" i="1"/>
  <c r="R233" i="1" s="1"/>
  <c r="U233" i="1" s="1"/>
  <c r="Q233" i="1"/>
  <c r="O232" i="1"/>
  <c r="R232" i="1" s="1"/>
  <c r="U232" i="1" s="1"/>
  <c r="Q232" i="1"/>
  <c r="S211" i="1"/>
  <c r="T210" i="1"/>
  <c r="I78" i="1" l="1"/>
  <c r="T76" i="1"/>
  <c r="S76" i="1"/>
  <c r="S70" i="1"/>
  <c r="S69" i="1"/>
  <c r="S68" i="1"/>
  <c r="S67" i="1"/>
  <c r="T63" i="1"/>
  <c r="S63" i="1"/>
  <c r="T60" i="1"/>
  <c r="S60" i="1"/>
  <c r="I60" i="1"/>
  <c r="T57" i="1"/>
  <c r="S57" i="1"/>
  <c r="T56" i="1"/>
  <c r="S56" i="1"/>
  <c r="T55" i="1"/>
  <c r="S55" i="1"/>
  <c r="S50" i="1"/>
  <c r="T50" i="1"/>
  <c r="T49" i="1"/>
  <c r="S49" i="1"/>
  <c r="T48" i="1"/>
  <c r="S48" i="1"/>
  <c r="I48" i="1"/>
  <c r="O48" i="1"/>
  <c r="R48" i="1" s="1"/>
  <c r="Q48" i="1"/>
  <c r="T47" i="1"/>
  <c r="S47" i="1"/>
  <c r="Q47" i="1"/>
  <c r="O47" i="1"/>
  <c r="R47" i="1" s="1"/>
  <c r="I47" i="1"/>
  <c r="T25" i="1"/>
  <c r="S25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Q45" i="1"/>
  <c r="Q43" i="1"/>
  <c r="O45" i="1"/>
  <c r="R45" i="1" s="1"/>
  <c r="U45" i="1" s="1"/>
  <c r="O43" i="1"/>
  <c r="R43" i="1" s="1"/>
  <c r="U43" i="1" s="1"/>
  <c r="U47" i="1" l="1"/>
  <c r="U48" i="1"/>
  <c r="Q210" i="1" l="1"/>
  <c r="Q211" i="1"/>
  <c r="Q226" i="1"/>
  <c r="O210" i="1" l="1"/>
  <c r="R210" i="1" s="1"/>
  <c r="U210" i="1" s="1"/>
  <c r="O211" i="1"/>
  <c r="R211" i="1" s="1"/>
  <c r="U211" i="1" s="1"/>
  <c r="O226" i="1"/>
  <c r="R226" i="1" s="1"/>
  <c r="U226" i="1" s="1"/>
  <c r="Q85" i="1" l="1"/>
  <c r="O85" i="1"/>
  <c r="R85" i="1" s="1"/>
  <c r="U85" i="1" s="1"/>
  <c r="I77" i="1"/>
  <c r="I76" i="1"/>
  <c r="Q69" i="1"/>
  <c r="O69" i="1"/>
  <c r="R69" i="1" s="1"/>
  <c r="U69" i="1" s="1"/>
  <c r="I69" i="1"/>
  <c r="Q68" i="1"/>
  <c r="O68" i="1"/>
  <c r="R68" i="1" s="1"/>
  <c r="U68" i="1" s="1"/>
  <c r="I68" i="1"/>
  <c r="I63" i="1"/>
  <c r="Q60" i="1"/>
  <c r="O60" i="1"/>
  <c r="R60" i="1" s="1"/>
  <c r="U60" i="1" s="1"/>
  <c r="Q55" i="1"/>
  <c r="O55" i="1"/>
  <c r="R55" i="1" s="1"/>
  <c r="U55" i="1" s="1"/>
  <c r="Q53" i="1"/>
  <c r="O53" i="1"/>
  <c r="R53" i="1" s="1"/>
  <c r="U53" i="1" s="1"/>
  <c r="I27" i="1"/>
  <c r="I25" i="1"/>
  <c r="I16" i="1"/>
  <c r="I17" i="1"/>
  <c r="I18" i="1"/>
  <c r="I19" i="1"/>
  <c r="I15" i="1"/>
  <c r="I14" i="1"/>
  <c r="I12" i="1"/>
  <c r="I13" i="1"/>
  <c r="T31" i="1" l="1"/>
  <c r="S31" i="1"/>
  <c r="Q54" i="1" l="1"/>
  <c r="O54" i="1"/>
  <c r="R54" i="1" s="1"/>
  <c r="U54" i="1" s="1"/>
  <c r="Q63" i="1"/>
  <c r="Q76" i="1"/>
  <c r="Q77" i="1"/>
  <c r="Q78" i="1"/>
  <c r="O63" i="1"/>
  <c r="R63" i="1" s="1"/>
  <c r="U63" i="1" s="1"/>
  <c r="O76" i="1"/>
  <c r="R76" i="1" s="1"/>
  <c r="U76" i="1" s="1"/>
  <c r="R77" i="1"/>
  <c r="U77" i="1" s="1"/>
  <c r="O78" i="1"/>
  <c r="R78" i="1" s="1"/>
  <c r="U78" i="1" s="1"/>
  <c r="I86" i="1" l="1"/>
  <c r="O86" i="1"/>
  <c r="R86" i="1" s="1"/>
  <c r="U86" i="1" s="1"/>
  <c r="Q86" i="1"/>
  <c r="I9" i="1"/>
  <c r="O9" i="1"/>
  <c r="R9" i="1" s="1"/>
  <c r="Q9" i="1"/>
  <c r="S9" i="1"/>
  <c r="T9" i="1"/>
  <c r="I87" i="1"/>
  <c r="O87" i="1"/>
  <c r="R87" i="1" s="1"/>
  <c r="U87" i="1" s="1"/>
  <c r="Q87" i="1"/>
  <c r="O80" i="1"/>
  <c r="R80" i="1" s="1"/>
  <c r="U80" i="1" s="1"/>
  <c r="Q80" i="1"/>
  <c r="O81" i="1"/>
  <c r="R81" i="1" s="1"/>
  <c r="U81" i="1" s="1"/>
  <c r="Q81" i="1"/>
  <c r="O82" i="1"/>
  <c r="R82" i="1" s="1"/>
  <c r="U82" i="1" s="1"/>
  <c r="Q82" i="1"/>
  <c r="O83" i="1"/>
  <c r="R83" i="1" s="1"/>
  <c r="U83" i="1" s="1"/>
  <c r="Q83" i="1"/>
  <c r="O84" i="1"/>
  <c r="R84" i="1" s="1"/>
  <c r="U84" i="1" s="1"/>
  <c r="Q84" i="1"/>
  <c r="O31" i="1"/>
  <c r="R31" i="1" s="1"/>
  <c r="U31" i="1" s="1"/>
  <c r="Q31" i="1"/>
  <c r="I61" i="1"/>
  <c r="O61" i="1"/>
  <c r="R61" i="1" s="1"/>
  <c r="Q61" i="1"/>
  <c r="S61" i="1"/>
  <c r="T61" i="1"/>
  <c r="O49" i="1"/>
  <c r="R49" i="1" s="1"/>
  <c r="U49" i="1" s="1"/>
  <c r="Q49" i="1"/>
  <c r="O50" i="1"/>
  <c r="R50" i="1" s="1"/>
  <c r="U50" i="1" s="1"/>
  <c r="Q50" i="1"/>
  <c r="O56" i="1"/>
  <c r="R56" i="1" s="1"/>
  <c r="U56" i="1" s="1"/>
  <c r="Q56" i="1"/>
  <c r="O57" i="1"/>
  <c r="R57" i="1" s="1"/>
  <c r="U57" i="1" s="1"/>
  <c r="Q57" i="1"/>
  <c r="O12" i="1"/>
  <c r="R12" i="1" s="1"/>
  <c r="U12" i="1" s="1"/>
  <c r="Q12" i="1"/>
  <c r="O14" i="1"/>
  <c r="R14" i="1" s="1"/>
  <c r="U14" i="1" s="1"/>
  <c r="Q14" i="1"/>
  <c r="O15" i="1"/>
  <c r="R15" i="1" s="1"/>
  <c r="U15" i="1" s="1"/>
  <c r="Q15" i="1"/>
  <c r="O16" i="1"/>
  <c r="R16" i="1" s="1"/>
  <c r="U16" i="1" s="1"/>
  <c r="Q16" i="1"/>
  <c r="O17" i="1"/>
  <c r="R17" i="1" s="1"/>
  <c r="U17" i="1" s="1"/>
  <c r="Q17" i="1"/>
  <c r="O18" i="1"/>
  <c r="R18" i="1" s="1"/>
  <c r="U18" i="1" s="1"/>
  <c r="Q18" i="1"/>
  <c r="O19" i="1"/>
  <c r="R19" i="1" s="1"/>
  <c r="U19" i="1" s="1"/>
  <c r="Q19" i="1"/>
  <c r="O25" i="1"/>
  <c r="R25" i="1" s="1"/>
  <c r="U25" i="1" s="1"/>
  <c r="Q25" i="1"/>
  <c r="O27" i="1"/>
  <c r="R27" i="1" s="1"/>
  <c r="U27" i="1" s="1"/>
  <c r="Q27" i="1"/>
  <c r="I67" i="1"/>
  <c r="Q67" i="1"/>
  <c r="I70" i="1"/>
  <c r="O70" i="1"/>
  <c r="R70" i="1" s="1"/>
  <c r="U70" i="1" s="1"/>
  <c r="Q70" i="1"/>
  <c r="Q30" i="1"/>
  <c r="I59" i="1"/>
  <c r="O59" i="1"/>
  <c r="R59" i="1" s="1"/>
  <c r="Q59" i="1"/>
  <c r="S59" i="1"/>
  <c r="T59" i="1"/>
  <c r="O171" i="1"/>
  <c r="R171" i="1" s="1"/>
  <c r="U171" i="1" s="1"/>
  <c r="Q171" i="1"/>
  <c r="O172" i="1"/>
  <c r="R172" i="1" s="1"/>
  <c r="U172" i="1" s="1"/>
  <c r="Q172" i="1"/>
  <c r="O184" i="1"/>
  <c r="R184" i="1" s="1"/>
  <c r="U184" i="1" s="1"/>
  <c r="Q184" i="1"/>
  <c r="I207" i="1"/>
  <c r="Q207" i="1"/>
  <c r="Q13" i="1"/>
  <c r="U59" i="1" l="1"/>
  <c r="U9" i="1"/>
  <c r="U61" i="1"/>
  <c r="O207" i="1"/>
  <c r="R207" i="1" s="1"/>
  <c r="U207" i="1" s="1"/>
  <c r="O67" i="1"/>
  <c r="R67" i="1" s="1"/>
  <c r="U67" i="1" s="1"/>
  <c r="O30" i="1"/>
  <c r="R30" i="1" s="1"/>
  <c r="U30" i="1" s="1"/>
  <c r="O13" i="1"/>
  <c r="R13" i="1" s="1"/>
  <c r="U13" i="1" s="1"/>
  <c r="R254" i="1" l="1"/>
  <c r="C258" i="1" s="1"/>
  <c r="S254" i="1"/>
  <c r="T254" i="1"/>
  <c r="C257" i="1"/>
  <c r="U254" i="1" l="1"/>
  <c r="C259" i="1"/>
  <c r="C2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Valentina</author>
    <author>Marius RIZEA</author>
  </authors>
  <commentList>
    <comment ref="T27" authorId="0" shapeId="0" xr:uid="{00000000-0006-0000-0000-000001000000}">
      <text>
        <r>
          <rPr>
            <b/>
            <sz val="9"/>
            <color indexed="81"/>
            <rFont val="Segoe UI"/>
            <family val="2"/>
            <charset val="238"/>
          </rPr>
          <t>Valentina:</t>
        </r>
        <r>
          <rPr>
            <sz val="9"/>
            <color indexed="81"/>
            <rFont val="Segoe UI"/>
            <family val="2"/>
            <charset val="238"/>
          </rPr>
          <t xml:space="preserve">
SE ADAUGA NACELA
</t>
        </r>
      </text>
    </comment>
    <comment ref="E80" authorId="1" shapeId="0" xr:uid="{00000000-0006-0000-0000-000002000000}">
      <text>
        <r>
          <rPr>
            <sz val="9"/>
            <color indexed="81"/>
            <rFont val="Tahoma"/>
            <family val="2"/>
          </rPr>
          <t>PLASAREA MASINII SE FACE EXCLUSIV PE RAMPA</t>
        </r>
      </text>
    </comment>
    <comment ref="T90" authorId="0" shapeId="0" xr:uid="{00000000-0006-0000-0000-000003000000}">
      <text>
        <r>
          <rPr>
            <b/>
            <sz val="9"/>
            <color indexed="81"/>
            <rFont val="Segoe UI"/>
            <family val="2"/>
            <charset val="238"/>
          </rPr>
          <t>Valentina:</t>
        </r>
        <r>
          <rPr>
            <sz val="9"/>
            <color indexed="81"/>
            <rFont val="Segoe UI"/>
            <family val="2"/>
            <charset val="238"/>
          </rPr>
          <t xml:space="preserve">
400 ESTE COSTUL DE NACELA
</t>
        </r>
      </text>
    </comment>
    <comment ref="N173" authorId="0" shapeId="0" xr:uid="{00000000-0006-0000-0000-000004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74" authorId="0" shapeId="0" xr:uid="{00000000-0006-0000-0000-000005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75" authorId="0" shapeId="0" xr:uid="{00000000-0006-0000-0000-000006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76" authorId="0" shapeId="0" xr:uid="{00000000-0006-0000-0000-000007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77" authorId="0" shapeId="0" xr:uid="{00000000-0006-0000-0000-000008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78" authorId="0" shapeId="0" xr:uid="{00000000-0006-0000-0000-000009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79" authorId="0" shapeId="0" xr:uid="{00000000-0006-0000-0000-00000A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80" authorId="0" shapeId="0" xr:uid="{00000000-0006-0000-0000-00000B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81" authorId="0" shapeId="0" xr:uid="{00000000-0006-0000-0000-00000C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82" authorId="0" shapeId="0" xr:uid="{00000000-0006-0000-0000-00000D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83" authorId="0" shapeId="0" xr:uid="{00000000-0006-0000-0000-00000E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84" authorId="0" shapeId="0" xr:uid="{00000000-0006-0000-0000-00000F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85" authorId="0" shapeId="0" xr:uid="{00000000-0006-0000-0000-000010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86" authorId="0" shapeId="0" xr:uid="{00000000-0006-0000-0000-000011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87" authorId="0" shapeId="0" xr:uid="{00000000-0006-0000-0000-000012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88" authorId="0" shapeId="0" xr:uid="{00000000-0006-0000-0000-000013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89" authorId="0" shapeId="0" xr:uid="{00000000-0006-0000-0000-000014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90" authorId="0" shapeId="0" xr:uid="{00000000-0006-0000-0000-000015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91" authorId="0" shapeId="0" xr:uid="{00000000-0006-0000-0000-000016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92" authorId="0" shapeId="0" xr:uid="{00000000-0006-0000-0000-000017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93" authorId="0" shapeId="0" xr:uid="{00000000-0006-0000-0000-000018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94" authorId="0" shapeId="0" xr:uid="{00000000-0006-0000-0000-000019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95" authorId="0" shapeId="0" xr:uid="{00000000-0006-0000-0000-00001A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96" authorId="0" shapeId="0" xr:uid="{00000000-0006-0000-0000-00001B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97" authorId="0" shapeId="0" xr:uid="{00000000-0006-0000-0000-00001C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98" authorId="0" shapeId="0" xr:uid="{00000000-0006-0000-0000-00001D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199" authorId="0" shapeId="0" xr:uid="{00000000-0006-0000-0000-00001E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00" authorId="0" shapeId="0" xr:uid="{00000000-0006-0000-0000-00001F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01" authorId="0" shapeId="0" xr:uid="{00000000-0006-0000-0000-000020000000}">
      <text>
        <r>
          <rPr>
            <b/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03" authorId="0" shapeId="0" xr:uid="{00000000-0006-0000-0000-000021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04" authorId="0" shapeId="0" xr:uid="{00000000-0006-0000-0000-000022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05" authorId="0" shapeId="0" xr:uid="{00000000-0006-0000-0000-000023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06" authorId="0" shapeId="0" xr:uid="{00000000-0006-0000-0000-000024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07" authorId="0" shapeId="0" xr:uid="{00000000-0006-0000-0000-000025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08" authorId="0" shapeId="0" xr:uid="{00000000-0006-0000-0000-000026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09" authorId="0" shapeId="0" xr:uid="{00000000-0006-0000-0000-000027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10" authorId="0" shapeId="0" xr:uid="{00000000-0006-0000-0000-000028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11" authorId="0" shapeId="0" xr:uid="{00000000-0006-0000-0000-000029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12" authorId="0" shapeId="0" xr:uid="{00000000-0006-0000-0000-00002A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13" authorId="0" shapeId="0" xr:uid="{00000000-0006-0000-0000-00002B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14" authorId="0" shapeId="0" xr:uid="{00000000-0006-0000-0000-00002C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15" authorId="0" shapeId="0" xr:uid="{00000000-0006-0000-0000-00002D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16" authorId="0" shapeId="0" xr:uid="{00000000-0006-0000-0000-00002E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17" authorId="0" shapeId="0" xr:uid="{00000000-0006-0000-0000-00002F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18" authorId="0" shapeId="0" xr:uid="{00000000-0006-0000-0000-000030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19" authorId="0" shapeId="0" xr:uid="{00000000-0006-0000-0000-000031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20" authorId="0" shapeId="0" xr:uid="{00000000-0006-0000-0000-000032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21" authorId="0" shapeId="0" xr:uid="{00000000-0006-0000-0000-000033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22" authorId="0" shapeId="0" xr:uid="{00000000-0006-0000-0000-000034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23" authorId="0" shapeId="0" xr:uid="{00000000-0006-0000-0000-000035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24" authorId="0" shapeId="0" xr:uid="{00000000-0006-0000-0000-000036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25" authorId="0" shapeId="0" xr:uid="{00000000-0006-0000-0000-000037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26" authorId="0" shapeId="0" xr:uid="{00000000-0006-0000-0000-000038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27" authorId="0" shapeId="0" xr:uid="{00000000-0006-0000-0000-000039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28" authorId="0" shapeId="0" xr:uid="{00000000-0006-0000-0000-00003A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29" authorId="0" shapeId="0" xr:uid="{00000000-0006-0000-0000-00003B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30" authorId="0" shapeId="0" xr:uid="{00000000-0006-0000-0000-00003C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31" authorId="0" shapeId="0" xr:uid="{00000000-0006-0000-0000-00003D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32" authorId="0" shapeId="0" xr:uid="{00000000-0006-0000-0000-00003E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33" authorId="0" shapeId="0" xr:uid="{00000000-0006-0000-0000-00003F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34" authorId="0" shapeId="0" xr:uid="{00000000-0006-0000-0000-000040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35" authorId="0" shapeId="0" xr:uid="{00000000-0006-0000-0000-000041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36" authorId="0" shapeId="0" xr:uid="{00000000-0006-0000-0000-000042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37" authorId="0" shapeId="0" xr:uid="{00000000-0006-0000-0000-000043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38" authorId="0" shapeId="0" xr:uid="{00000000-0006-0000-0000-000044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39" authorId="0" shapeId="0" xr:uid="{00000000-0006-0000-0000-000045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40" authorId="0" shapeId="0" xr:uid="{00000000-0006-0000-0000-000046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41" authorId="0" shapeId="0" xr:uid="{00000000-0006-0000-0000-000047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42" authorId="0" shapeId="0" xr:uid="{00000000-0006-0000-0000-000048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43" authorId="0" shapeId="0" xr:uid="{00000000-0006-0000-0000-000049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44" authorId="0" shapeId="0" xr:uid="{00000000-0006-0000-0000-00004A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45" authorId="0" shapeId="0" xr:uid="{00000000-0006-0000-0000-00004B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46" authorId="0" shapeId="0" xr:uid="{00000000-0006-0000-0000-00004C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47" authorId="0" shapeId="0" xr:uid="{00000000-0006-0000-0000-00004D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48" authorId="0" shapeId="0" xr:uid="{00000000-0006-0000-0000-00004E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49" authorId="0" shapeId="0" xr:uid="{00000000-0006-0000-0000-00004F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50" authorId="0" shapeId="0" xr:uid="{00000000-0006-0000-0000-000050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51" authorId="0" shapeId="0" xr:uid="{00000000-0006-0000-0000-000051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52" authorId="0" shapeId="0" xr:uid="{00000000-0006-0000-0000-000052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  <comment ref="N253" authorId="0" shapeId="0" xr:uid="{00000000-0006-0000-0000-000053000000}">
      <text>
        <r>
          <rPr>
            <sz val="9"/>
            <color indexed="81"/>
            <rFont val="Segoe UI"/>
            <family val="2"/>
            <charset val="238"/>
          </rPr>
          <t xml:space="preserve">
MARTIE, APRILIE, OCTOMBRIE, NOIEMBRIE, DECEMBRIE</t>
        </r>
      </text>
    </comment>
  </commentList>
</comments>
</file>

<file path=xl/sharedStrings.xml><?xml version="1.0" encoding="utf-8"?>
<sst xmlns="http://schemas.openxmlformats.org/spreadsheetml/2006/main" count="1113" uniqueCount="411">
  <si>
    <t>BANEASA SHOPPING CITY</t>
  </si>
  <si>
    <t>PROMOTIONAL STAND</t>
  </si>
  <si>
    <t>AFI-COTROCENI</t>
  </si>
  <si>
    <t>CAR EXPOSURE</t>
  </si>
  <si>
    <t>PROMOTIONAL STAND 6mp</t>
  </si>
  <si>
    <t>DAILY TRAFFIC</t>
  </si>
  <si>
    <t>MONTHLY TRAFFIC</t>
  </si>
  <si>
    <t>SUPPORT</t>
  </si>
  <si>
    <t>(as stated by owner)</t>
  </si>
  <si>
    <t>PLACEMENT</t>
  </si>
  <si>
    <t>ESCALATORS (Mijloc)</t>
  </si>
  <si>
    <t>ESCALATORS (Food Court)</t>
  </si>
  <si>
    <t>STAND-UP COLUMN - 4 FACES</t>
  </si>
  <si>
    <t>ICE RINK</t>
  </si>
  <si>
    <t>FIELD COVER</t>
  </si>
  <si>
    <t>1.1x1.6</t>
  </si>
  <si>
    <t>STAR ATRIUM</t>
  </si>
  <si>
    <t>H&amp;M</t>
  </si>
  <si>
    <t>TRENDS</t>
  </si>
  <si>
    <t>FOOD COURT</t>
  </si>
  <si>
    <t>ELEVATOR DECORATION</t>
  </si>
  <si>
    <t>PAZIE - FOODCOURT</t>
  </si>
  <si>
    <t>CITY LIGHT BM - 2 faces</t>
  </si>
  <si>
    <t>8 mp la sol</t>
  </si>
  <si>
    <t>max 2 sqm la sol</t>
  </si>
  <si>
    <t>2-4 sqm la sol</t>
  </si>
  <si>
    <t>(COST/PERSON/DAY)</t>
  </si>
  <si>
    <t>PROMOTER</t>
  </si>
  <si>
    <t>TRAVELATORS - 1 pereche STAR ATRIUM</t>
  </si>
  <si>
    <t>ESCALATORS - 1 pereche (Mijloc)</t>
  </si>
  <si>
    <t>ESCALATORS - 2 perechi (Food Court)</t>
  </si>
  <si>
    <t>TRAVELATORS 1 bucata (LINK TO CARREFOUR)</t>
  </si>
  <si>
    <t>BALUSTRADES - 4 bucati (Food Court)</t>
  </si>
  <si>
    <t>TRAVELATOR 1 (LINK TO CARREFOUR)</t>
  </si>
  <si>
    <t>FOUNTAIN ATRIUM</t>
  </si>
  <si>
    <t>6 mp la sol</t>
  </si>
  <si>
    <t>FLAGS - 2 FACES</t>
  </si>
  <si>
    <t>2 bucati - intrare Far, 2 bucati - Starbucks, 2 bucati - Mag. Mothercare</t>
  </si>
  <si>
    <t>START DATE</t>
  </si>
  <si>
    <t>END DATE</t>
  </si>
  <si>
    <t>NO. of MONTHS</t>
  </si>
  <si>
    <t>DISCOUNT</t>
  </si>
  <si>
    <t>CLIENT</t>
  </si>
  <si>
    <t>BRAND</t>
  </si>
  <si>
    <t>PERIOD</t>
  </si>
  <si>
    <t>TOWN</t>
  </si>
  <si>
    <t>BUCURESTI</t>
  </si>
  <si>
    <t>LOCATION</t>
  </si>
  <si>
    <t>SIZE (meters or sqm)</t>
  </si>
  <si>
    <t>NO. of PIECES</t>
  </si>
  <si>
    <t>NO. of FACES</t>
  </si>
  <si>
    <t>RENTAL COST / PIECE / MONTH</t>
  </si>
  <si>
    <t>RENTAL COST / PIECE / SPECIAL MONTH (APR, NOV or DEC)</t>
  </si>
  <si>
    <t>TOTAL RENTAL COST / NO. of PIECES / PERIOD</t>
  </si>
  <si>
    <t>DISCOUNTED RENTAL COST / PIECE / MONTH</t>
  </si>
  <si>
    <t>DISCOUNTED TOTAL RENTAL COST / NO. of PIECES / PERIOD</t>
  </si>
  <si>
    <t>TOTAL COST / CAMPAIGN</t>
  </si>
  <si>
    <t>TOTAL PRODUCTION</t>
  </si>
  <si>
    <t>3x2 m</t>
  </si>
  <si>
    <t>1.5x6 m</t>
  </si>
  <si>
    <t>TOTAL BUDGET per CAMPAIGN</t>
  </si>
  <si>
    <t>Period of campaign (time units)</t>
  </si>
  <si>
    <t>DISCOUNTED TOTAL RENTAL COST (per period)</t>
  </si>
  <si>
    <t>Services Costs</t>
  </si>
  <si>
    <t>TOTAL COST per CAMPAIGN</t>
  </si>
  <si>
    <t>CITY LIGHT BM - 1 fata</t>
  </si>
  <si>
    <t>SERVICES COSTS FOR AGENCIES</t>
  </si>
  <si>
    <t>TOTAL DECORATION</t>
  </si>
  <si>
    <t>CITYLIGHT BM</t>
  </si>
  <si>
    <t>5-8 sqm la sol</t>
  </si>
  <si>
    <t>9-12 sqm la sol</t>
  </si>
  <si>
    <t>ESCALATOR - 1 PIECE ( H&amp;M )</t>
  </si>
  <si>
    <t>ESCALATOR - 1 PIECE (TRENDS )</t>
  </si>
  <si>
    <t>UNDERGROUND MESH</t>
  </si>
  <si>
    <t>UNDERGROUND COLUMNS</t>
  </si>
  <si>
    <t>ESCALATOR - 1 PIECE ( RAIFFEISEN BANK )</t>
  </si>
  <si>
    <t>RAIFFEISEN BANK</t>
  </si>
  <si>
    <t>FOUNTAIN BRANDING</t>
  </si>
  <si>
    <t>LINK MALL</t>
  </si>
  <si>
    <t>ENTRANCE DOOR</t>
  </si>
  <si>
    <t>MOCK-UP DOOR</t>
  </si>
  <si>
    <t>parcarea subterana catre Star Atrium</t>
  </si>
  <si>
    <t>parcarea subterana catre FOOD COURT - HELP NET</t>
  </si>
  <si>
    <t>parcarea subterana catre FOOD COURT - TOP CLEAN</t>
  </si>
  <si>
    <t>MESH FEERIA</t>
  </si>
  <si>
    <t>FAÇADE STICKER</t>
  </si>
  <si>
    <t xml:space="preserve">TOILET MIRROR STICKERS </t>
  </si>
  <si>
    <t>INDOOR</t>
  </si>
  <si>
    <t>ESCALATOR - 1 PIECE ( DOUGLAS )</t>
  </si>
  <si>
    <t>DOUGLAS</t>
  </si>
  <si>
    <t>FLAGS 2 FACES</t>
  </si>
  <si>
    <t>CORIDOR</t>
  </si>
  <si>
    <t>ENTRANCE - 1 ROTATING DOOR</t>
  </si>
  <si>
    <t>CUBE BM - 4 FACES</t>
  </si>
  <si>
    <t>2x0.8</t>
  </si>
  <si>
    <t>AUCHAN</t>
  </si>
  <si>
    <t>CORRIDORS</t>
  </si>
  <si>
    <t>CITY LIGHT - 2 faces outdoor</t>
  </si>
  <si>
    <t>CITY LIGHT - 2 faces - outdoor</t>
  </si>
  <si>
    <t>TOTEMS (15 SEC SPOT)</t>
  </si>
  <si>
    <t>FEERIA MEDIA GALAXY</t>
  </si>
  <si>
    <t>FEERIA MOBEXPERT</t>
  </si>
  <si>
    <t>BACK OF ESCALATORS</t>
  </si>
  <si>
    <t>ELEVATOR BRANDING INTERIOR</t>
  </si>
  <si>
    <t>P&amp;C</t>
  </si>
  <si>
    <t>FOOD COURT CHAIRS DECORATIONS</t>
  </si>
  <si>
    <t>FOOD COURT TABLE DECORATIONS</t>
  </si>
  <si>
    <t>UNDERGROUND ENTRANCE MESH</t>
  </si>
  <si>
    <t>LEFT + RIGHT</t>
  </si>
  <si>
    <t>LIGHT BOX FAÇADE</t>
  </si>
  <si>
    <t>INDOOR (10 pieces - 20 faces)</t>
  </si>
  <si>
    <t>FOOD COURT (15 tables)</t>
  </si>
  <si>
    <t>FOOD COURT (15 chairs)</t>
  </si>
  <si>
    <t>UNDERGROUND ENTRANCE DOOR</t>
  </si>
  <si>
    <t>UNDERGROUND ENTRANCE DOORS</t>
  </si>
  <si>
    <t>TOILET MIRROR STICKER</t>
  </si>
  <si>
    <t>5x2 m</t>
  </si>
  <si>
    <t>TABLE STICKER</t>
  </si>
  <si>
    <t>FOODCOURT</t>
  </si>
  <si>
    <t>FOOD COURT - 3x6 m</t>
  </si>
  <si>
    <t>FOUNTAIN ATRIUM - 3x6 m</t>
  </si>
  <si>
    <t>FATADA FEERIA - 6.7x6.7 m</t>
  </si>
  <si>
    <t>MESH - on the façade - 63.5x9.2 m</t>
  </si>
  <si>
    <t>OUTDOOR PARKING - 1.4x2.9 m</t>
  </si>
  <si>
    <t>FOOD COURT ENTRANCE - 6x5.5 m x 4 fete</t>
  </si>
  <si>
    <t>FOOD COURT - STANGA - 10x10 m</t>
  </si>
  <si>
    <t>FOOD COURT - DREAPTA - 10x10 m</t>
  </si>
  <si>
    <t>LINK MALL - STANGA - 10x10 m</t>
  </si>
  <si>
    <t>LINK MALL - DREAPTA - 10x10 m</t>
  </si>
  <si>
    <t>ABOVE ENTRANCE FOOD COURT EXTERIOR - 7.1x5.6 m</t>
  </si>
  <si>
    <t>ABOVE ENTRANCE FOOD COURT INTERIOR - 7.1x5.6 m</t>
  </si>
  <si>
    <t>ABOVE ENTRANCE LINK MALL INTERIOR - 7.1x5.6 m</t>
  </si>
  <si>
    <t>STAND-UP COLUMN - 4 FACES - 0.97x1.97 m</t>
  </si>
  <si>
    <t>PARKING PANEL</t>
  </si>
  <si>
    <t>ELEVATOR LATERAL SIDE</t>
  </si>
  <si>
    <t>ELEVATOR FOOD COURT</t>
  </si>
  <si>
    <t>-</t>
  </si>
  <si>
    <t>UNDERGROUND - 2x1.4 m</t>
  </si>
  <si>
    <t>CITY LIGHT - underground</t>
  </si>
  <si>
    <t>UNDERGROUND</t>
  </si>
  <si>
    <t>COLUMNS 3 PIECES - FOOD COURT</t>
  </si>
  <si>
    <t xml:space="preserve">COLUMNS 4 PIECES - FOUNTAIN </t>
  </si>
  <si>
    <t>FLAGS - OUTDOOR PARKING</t>
  </si>
  <si>
    <t>BALUSTRADES (Food Court)</t>
  </si>
  <si>
    <t xml:space="preserve">MESH - ON THE FAÇADE </t>
  </si>
  <si>
    <t>BOULEVARD VITRINES</t>
  </si>
  <si>
    <t>OUTDOOR - ENTRANCE FOOD COURT</t>
  </si>
  <si>
    <t>BALUSTRADES - FOUNTAIN</t>
  </si>
  <si>
    <t>BALUSTRADES FOUNTAIN</t>
  </si>
  <si>
    <t>BALUSTRADES LINK MALL</t>
  </si>
  <si>
    <t>BALUSTRADES - CROSS MALL</t>
  </si>
  <si>
    <t>UNDERGROUND STICKER</t>
  </si>
  <si>
    <t>UNDERGROUND FOOD COURT</t>
  </si>
  <si>
    <t>FLAGS FEERIA - 26 PIECES</t>
  </si>
  <si>
    <t>PANEL FEERIA</t>
  </si>
  <si>
    <t>CUPOLA FLAGS FEERIA</t>
  </si>
  <si>
    <t>EXTERIOR MESH - IKEA</t>
  </si>
  <si>
    <t>BUS STATION</t>
  </si>
  <si>
    <t>BUS STATION OUTDOOR PARKING</t>
  </si>
  <si>
    <t xml:space="preserve">OUTDOOR BILBOARD </t>
  </si>
  <si>
    <t>OUTDOOR PARKING BILBOARD</t>
  </si>
  <si>
    <t>0.9x1.42m</t>
  </si>
  <si>
    <t>1080x1920pix</t>
  </si>
  <si>
    <t>3.08x4.18m</t>
  </si>
  <si>
    <t>PACKAGE  P&amp;C PARTER + ETAJ 1</t>
  </si>
  <si>
    <t>TOILET MIRROR STICKERS</t>
  </si>
  <si>
    <t>FEMEI PARTER FOOD COURT</t>
  </si>
  <si>
    <t>FEMEI PARTER GEOX</t>
  </si>
  <si>
    <t>FEMEI PARTER DOUGLAS</t>
  </si>
  <si>
    <t>FEMEI ETAJ PEPPER</t>
  </si>
  <si>
    <t>FEMEI ETAJUL 1 SIMONA</t>
  </si>
  <si>
    <t>BARBATI PARTER FOOD COURT</t>
  </si>
  <si>
    <t>BARBATI PARTER GEOX</t>
  </si>
  <si>
    <t>BARBATI PARTER DOUGLAS</t>
  </si>
  <si>
    <t>BARBATI ETAJ PEPPER</t>
  </si>
  <si>
    <t>BARBATI ETAJUL 1 SIMONA</t>
  </si>
  <si>
    <t>1.47x3.9m</t>
  </si>
  <si>
    <t>FOUNTAIN GROUND FLOOR - 4 PIECES - 16 FACES</t>
  </si>
  <si>
    <t>FOUNTAIN ETAJ - 4 PIECES - 16 FACES</t>
  </si>
  <si>
    <t>P&amp;C (ESCALATORS + BALUSTRADES + PANORAMIC ELEVATOR)</t>
  </si>
  <si>
    <t>1.167x1.772m</t>
  </si>
  <si>
    <t>FEERIA INTERSPORT</t>
  </si>
  <si>
    <t>OUTDOOR PARKING FOOD COURT - 8.1x2.2m</t>
  </si>
  <si>
    <t>FEERIA ENTRANCE - 6x5.5 m x 4 fete</t>
  </si>
  <si>
    <t>1.5x2m</t>
  </si>
  <si>
    <t>6x2m</t>
  </si>
  <si>
    <t>2x4m</t>
  </si>
  <si>
    <t>8x3</t>
  </si>
  <si>
    <t>OUTDOOR MESH IKEA - 35x13m</t>
  </si>
  <si>
    <t xml:space="preserve">FLAGS - 2 FACES - FOOD COURT </t>
  </si>
  <si>
    <t xml:space="preserve">BACKLIT </t>
  </si>
  <si>
    <t>MESH PARKING ENTRANCE</t>
  </si>
  <si>
    <t>GALAXY ENTRANCE</t>
  </si>
  <si>
    <t>1.2x1.4m</t>
  </si>
  <si>
    <t>ENTRANCE DOOR PANELS</t>
  </si>
  <si>
    <t>STICKER INTERIOR</t>
  </si>
  <si>
    <t>BANNERS FAR ENTRANCE</t>
  </si>
  <si>
    <t>ESCALATORS FAR ENTRANCE</t>
  </si>
  <si>
    <t xml:space="preserve"> FAR ENTRANCE </t>
  </si>
  <si>
    <t>VIA CONDOTTI CORRIDOR</t>
  </si>
  <si>
    <t>BALUSTRADES GRADENA</t>
  </si>
  <si>
    <t>BALUSTRADES VIA CONDOTTI CORRIDOR</t>
  </si>
  <si>
    <t>UNDERGROUND CORRIDOR ESCALATOR</t>
  </si>
  <si>
    <t>UNDERGROUND PARKING ESCALATOR</t>
  </si>
  <si>
    <t>DOOR PANEL</t>
  </si>
  <si>
    <t>ESCALATORS GALAXY ENTRANCE</t>
  </si>
  <si>
    <t>BANNER GALAXY</t>
  </si>
  <si>
    <t>COLUMNS</t>
  </si>
  <si>
    <t>BALUSTRADES VIP PARKING</t>
  </si>
  <si>
    <t>CORRIDOR CHAMPS ELYSEES ENTRANCE VIP PARKING</t>
  </si>
  <si>
    <t>ESCALATORS VIP PARKING</t>
  </si>
  <si>
    <t xml:space="preserve">VIP PARKING ENTRANCE TO CHAMPS ELYSEES CORRIDOR </t>
  </si>
  <si>
    <t>MANTINELA BRANDING</t>
  </si>
  <si>
    <t>BANNERS ICE RINK</t>
  </si>
  <si>
    <t>BALUSTRADES CENTRAL COURT</t>
  </si>
  <si>
    <t>CENTRAL COURT</t>
  </si>
  <si>
    <t>ESCALATORS CENTRAL COURT PARKING</t>
  </si>
  <si>
    <t>PARKING ENTRANCE TO CENTRAL COURT</t>
  </si>
  <si>
    <t>BALUSTRADE BRIDGE</t>
  </si>
  <si>
    <t>ESCALATOR CENTRAL COURT</t>
  </si>
  <si>
    <t>LED LIGHT BOX</t>
  </si>
  <si>
    <t>TABLE BRANDING</t>
  </si>
  <si>
    <t>BRIDGE BRANDING</t>
  </si>
  <si>
    <t>BRIDGE BANNERS</t>
  </si>
  <si>
    <t>AUCHAN BALUSTRADE</t>
  </si>
  <si>
    <t>IN FRONT OF AUCHAN</t>
  </si>
  <si>
    <t>AUCHAN ESCALATOR</t>
  </si>
  <si>
    <t>TRAVELATOR AUCHAN</t>
  </si>
  <si>
    <t>PARKING TO AUCHAN</t>
  </si>
  <si>
    <t>AUCHAN FLAG COLUMN - 1 FACE</t>
  </si>
  <si>
    <t>CORRIDOR BRANDING WALL</t>
  </si>
  <si>
    <t>CORRIDOR OXFORD STREET - CINNABON AREA</t>
  </si>
  <si>
    <t>CORRIDOR PANEL</t>
  </si>
  <si>
    <t>ENTRANCE CONNECTION DOORS</t>
  </si>
  <si>
    <t>UNDERGROUND SLIDING DOORS</t>
  </si>
  <si>
    <t>UNDERGROUND PARKING TO AUCHAN</t>
  </si>
  <si>
    <t>ESCALATORS</t>
  </si>
  <si>
    <t>TIMISOARA BLVD. ENTRANCE</t>
  </si>
  <si>
    <t>VASILE MILEA BLVD. ENTRANCE</t>
  </si>
  <si>
    <t>4.16x1.66m</t>
  </si>
  <si>
    <t>STICKER FACADE FAR</t>
  </si>
  <si>
    <t>FAR ENTRANCE 33.8 x 9.5 m</t>
  </si>
  <si>
    <t>TIMISOARA BLVD. ENTRANCE 9 x 1 m</t>
  </si>
  <si>
    <t>VASILE MILEA BLVD. ENTRANCE 9 x 1 m</t>
  </si>
  <si>
    <t>PARKING MESH ENTRANCE</t>
  </si>
  <si>
    <t>PARKING ENTRANCE BD. TIMISOARA LEFT 14 x 4 m</t>
  </si>
  <si>
    <t>PARKING ENTRANCE BD. TIMISOARA RIGHT 14 x 4 m</t>
  </si>
  <si>
    <t>KING SIZE STICKER</t>
  </si>
  <si>
    <t>FAR ENTRANCE 20 x 8 m</t>
  </si>
  <si>
    <t xml:space="preserve">STREET SIDE STICKER </t>
  </si>
  <si>
    <t>OUTDOOR BD. VASILE MILEA 5.7 x 8 m</t>
  </si>
  <si>
    <t>FAR EXIT 6 x 1.7 m</t>
  </si>
  <si>
    <t>GALAXY EXIT 6 x 1.7 m</t>
  </si>
  <si>
    <t>FOOD COURT 3 x 9 m</t>
  </si>
  <si>
    <t>FAR ENTRANCE 3 x 6 m</t>
  </si>
  <si>
    <t>GALAXY ENTRANCE 5 x 6 m</t>
  </si>
  <si>
    <t>ICE RINK - FOOD COURT 4 x 6 m</t>
  </si>
  <si>
    <t>FEMEI PARTER AUCHAN 1</t>
  </si>
  <si>
    <t xml:space="preserve"> FEMEI PARTER AUCHAN 2</t>
  </si>
  <si>
    <t>FEMEI PARTER NISSA</t>
  </si>
  <si>
    <t xml:space="preserve"> FEMEI ETAJ FOOD COURT</t>
  </si>
  <si>
    <t>FEMEI ETAJ ALTEX</t>
  </si>
  <si>
    <t>BARBATI PARTER AUCHAN 1</t>
  </si>
  <si>
    <t>BARBATI PARTER AUCHAN 2</t>
  </si>
  <si>
    <t>BARBATI PARTER NISSA</t>
  </si>
  <si>
    <t>BARBATI ETAJ FOOD COURT</t>
  </si>
  <si>
    <t>BARBATI ETAJ ALTEX</t>
  </si>
  <si>
    <t>0.3 x 0.3</t>
  </si>
  <si>
    <t>2 PIECES AUCHAN</t>
  </si>
  <si>
    <t>Sunt amplasate la intrarile din parcarile subterane. 4 bucati - Auchan, 4 bucati - Food Court, 1 bucata Zara</t>
  </si>
  <si>
    <t>INTRARE FAR 1.2 x 1.6 m</t>
  </si>
  <si>
    <t>INTRARE GALAXY 1.2 x 1.6 m</t>
  </si>
  <si>
    <t>STARBUCKS  1.6 x 1.2 m</t>
  </si>
  <si>
    <t>FOOD COURT 20 x 1.4 m</t>
  </si>
  <si>
    <t>BRIDGE BALUSTRADE 6.55 x 1 m</t>
  </si>
  <si>
    <t>FOOD COURT FIRST FLOOR</t>
  </si>
  <si>
    <t>CENTRAL COURT 3 x 6 m</t>
  </si>
  <si>
    <t>INTRARE FAR 6 x 6 m</t>
  </si>
  <si>
    <t>INTRARE GALAXY 6 x 6 m</t>
  </si>
  <si>
    <t>GALAXY ENTRANCE 4 x 6 m</t>
  </si>
  <si>
    <t>CHAMPS ELYSEES CORRIDOR 12 x 2.5 m</t>
  </si>
  <si>
    <t>OXFORD STREET CORRIDOR 9 x 1.2 m</t>
  </si>
  <si>
    <t>STARBUCKS 3 x 6 m</t>
  </si>
  <si>
    <t>AUCHAN 1 x 3 m</t>
  </si>
  <si>
    <t>UNDERGROUND PARKING TO AUCHAN 8 x 1.2 m</t>
  </si>
  <si>
    <t>UNDERGROUND PARKING TO VIA CONDOTTI</t>
  </si>
  <si>
    <t>FAR ENTRANCE 4 x 1.5 m</t>
  </si>
  <si>
    <t>GALAXY ENTRANCE 4 x 1.5 m</t>
  </si>
  <si>
    <t>GROUND FLOOR PARKING 2 x 2 m</t>
  </si>
  <si>
    <t>FAR ENTRANCE 1.2 x 1.4m</t>
  </si>
  <si>
    <t>GALAXY ENTRANCE 1.2x1.4m</t>
  </si>
  <si>
    <t>AFI PARK 4&amp;5  1.2 x 1.2 m</t>
  </si>
  <si>
    <t>FOOD COURT 1 x 2 m</t>
  </si>
  <si>
    <t>UNDERGROUND PARKING TO FOOD COURT</t>
  </si>
  <si>
    <t>UNDERGROUND VIP PARKING TO CHAMPS ELYSEES</t>
  </si>
  <si>
    <t>AUCHAN/CORIDOR</t>
  </si>
  <si>
    <t>FLAG</t>
  </si>
  <si>
    <t>SUNSET BLVD CORRIDOR 3 x 4 m</t>
  </si>
  <si>
    <t>OXFORD STREET CORRIDOR 2 x 3 m</t>
  </si>
  <si>
    <t>AFI PARK 1&amp;2&amp;3  1.52 x 1.2 m</t>
  </si>
  <si>
    <t>DIGITAL STAND-UP COLUMN</t>
  </si>
  <si>
    <t>1080x1920 px, 15 sec</t>
  </si>
  <si>
    <t>CORIDOR - 2x4 m / 4x2 m</t>
  </si>
  <si>
    <t>Food Court fatada Mall - 6x3 m</t>
  </si>
  <si>
    <t>Link Mall fatada Mall - 6x3 m</t>
  </si>
  <si>
    <t>CASETA INTRARE FEERIA</t>
  </si>
  <si>
    <t>INTRARE FEERIA FOODCOURT</t>
  </si>
  <si>
    <t>2.5x2 m</t>
  </si>
  <si>
    <t>INTRARE FEERIA INTERSPORT</t>
  </si>
  <si>
    <t>Parking Entrance -2_Going out elevators Carrefour</t>
  </si>
  <si>
    <t>Double Escalator front of Carrefour (4+4) going to Info Desk</t>
  </si>
  <si>
    <t>PAUL Rotating Door_Main Entrance on LR</t>
  </si>
  <si>
    <t>Rotating door on Park</t>
  </si>
  <si>
    <t>Rotating door H&amp;M / -1 Level to Ground Floor</t>
  </si>
  <si>
    <t>CORRIDORS_VOIDS  (Zara Travellator/Massimo Dutti)</t>
  </si>
  <si>
    <t>CORRIDORS_VOIDS (Douglas)</t>
  </si>
  <si>
    <t>CORRIDORS_VOIDS (Swarovski/Carturesti)</t>
  </si>
  <si>
    <t>Parking Entrance -2_prox. Carrefour, Altex</t>
  </si>
  <si>
    <t>CARREFOUR ACTIVATION</t>
  </si>
  <si>
    <t>NOD 4-Parking Entrance / H&amp;M</t>
  </si>
  <si>
    <t>Rotating Column on Starbucks_Main Entrance on LR</t>
  </si>
  <si>
    <t>Rotating Column on PAUL_Main Entrance on LR</t>
  </si>
  <si>
    <t>Wood Wall on Park 1</t>
  </si>
  <si>
    <t>Central Escalator on PAUL Entrance (NEW)</t>
  </si>
  <si>
    <t>Central Escalator on Starbucks Entrance (NEW)</t>
  </si>
  <si>
    <t>MAIN RELAXATION AREA</t>
  </si>
  <si>
    <t>MAIN SQUARE ACTIVATION</t>
  </si>
  <si>
    <t>CORRIDORS_VOIDS (New Yorker / Optiblu)</t>
  </si>
  <si>
    <t>CORRIDORS_VOIDS (KULTHO / Jolidon)</t>
  </si>
  <si>
    <t>CORRIDORS_VOIDS (Pandora / Collective)</t>
  </si>
  <si>
    <t>CORRIDORS_VOIDS  (Mohito / Superdry)</t>
  </si>
  <si>
    <t>CORRIDORS_VOIDS (Koton)</t>
  </si>
  <si>
    <t>CORRIDORS_VOIDS (H&amp;M / Mango)</t>
  </si>
  <si>
    <t>ELEVATORS NEAR MAIN SQUARE</t>
  </si>
  <si>
    <t>MAIN RELAXATION AREA_PARK_MAIN SQUARE</t>
  </si>
  <si>
    <t>MAIN SQUARE or CORRIDORS</t>
  </si>
  <si>
    <t>CARREFOR</t>
  </si>
  <si>
    <t>DIGITAL DIRECTORIES</t>
  </si>
  <si>
    <t>11 LOCATIONS with 17 VISIBLE FACES/ LED SCREENS</t>
  </si>
  <si>
    <t>1080x1455 px</t>
  </si>
  <si>
    <t>PARK LAKE</t>
  </si>
  <si>
    <t>BACKLIT CRF01</t>
  </si>
  <si>
    <t>4x2.5 m</t>
  </si>
  <si>
    <t>FOREX WALL</t>
  </si>
  <si>
    <t>7x2.6 m</t>
  </si>
  <si>
    <t>BACKLIT CRF02</t>
  </si>
  <si>
    <t>1.4x2.1 m</t>
  </si>
  <si>
    <t>ELEVATOR DOORS DECORATION - 3 PIECES</t>
  </si>
  <si>
    <t>TRAVELATORS</t>
  </si>
  <si>
    <t>NOD 1 up+down near DIGI going to -3</t>
  </si>
  <si>
    <t>ROTATING COLUMN</t>
  </si>
  <si>
    <t>from -2 to -1 - Media Galaxy to Blue Lagoon</t>
  </si>
  <si>
    <t>from -2 to -3 near Hervis</t>
  </si>
  <si>
    <t>DOUBLE ESCALATORS</t>
  </si>
  <si>
    <t>LONG TRAVELATORS</t>
  </si>
  <si>
    <t>7x2.1 m</t>
  </si>
  <si>
    <t>NOD 3 forex wall pos. 1 RIGHT</t>
  </si>
  <si>
    <t>NOD 3 forex wall pos. 1 LEFT</t>
  </si>
  <si>
    <t>BACKLIT N3BKL01</t>
  </si>
  <si>
    <t>NOD 3-Parking Entrance -1 near Travelators going to Carrefour, Hervis</t>
  </si>
  <si>
    <t>BACKLIT N3BKL02</t>
  </si>
  <si>
    <t>6x2 m</t>
  </si>
  <si>
    <t>BACKLIT N3BKL03</t>
  </si>
  <si>
    <t>ROTATING DOOR</t>
  </si>
  <si>
    <t>from -1 to 0 - Blue Lagoon to Zara</t>
  </si>
  <si>
    <t>NOD 3 up+down -2 to -1 near Hervis</t>
  </si>
  <si>
    <t>NOD 4 up+down -2 to -1 near H&amp;M</t>
  </si>
  <si>
    <t>NOD 4 up+down -1 to 0 near H&amp;M</t>
  </si>
  <si>
    <t>BACKLIT N1BKL03</t>
  </si>
  <si>
    <t>NOD 1 - Wall above Carrefour parking entrance -1</t>
  </si>
  <si>
    <t>7x2.4 m</t>
  </si>
  <si>
    <t>BACKLIT MSBKL01</t>
  </si>
  <si>
    <t>MAIN SQUARE near Info Desk</t>
  </si>
  <si>
    <t>4x2.4 m</t>
  </si>
  <si>
    <t>STARBUCKS Rotating Door_Main Entrance on LR</t>
  </si>
  <si>
    <t>PARK CUBE</t>
  </si>
  <si>
    <t>BANNER</t>
  </si>
  <si>
    <t>9.3x3.2 m</t>
  </si>
  <si>
    <t>7x3.2 m</t>
  </si>
  <si>
    <t>7.5x3.2 m</t>
  </si>
  <si>
    <t>Park Cube 3x3 m</t>
  </si>
  <si>
    <t>ZARA Escalators</t>
  </si>
  <si>
    <t>H&amp;M Escalators</t>
  </si>
  <si>
    <t>ESCALATOR</t>
  </si>
  <si>
    <t>BACKLIT ELVBKL01</t>
  </si>
  <si>
    <t>6.5x1.4 m</t>
  </si>
  <si>
    <t>FAÇADE MESH</t>
  </si>
  <si>
    <t>Mesh on Façade pos. on Liviu Rebreanu</t>
  </si>
  <si>
    <t>1'st Floor Liviu Rebreanu</t>
  </si>
  <si>
    <t>1'st Floor World Class</t>
  </si>
  <si>
    <t>2'nd Floor World Class</t>
  </si>
  <si>
    <t>Ground Floor Liviu Rebreanu</t>
  </si>
  <si>
    <t>Ground Floor World Class</t>
  </si>
  <si>
    <t>Parking Area -1 to World Class</t>
  </si>
  <si>
    <t>Parking Area Level -1 Liviu Rebreanu</t>
  </si>
  <si>
    <t>Parking Area Level -2 Liviu Rebreanu</t>
  </si>
  <si>
    <t>Parking Area -2 to World Class</t>
  </si>
  <si>
    <t>round 20-30 cm</t>
  </si>
  <si>
    <t>FLOOR STICKER</t>
  </si>
  <si>
    <t>ALL LEVELS</t>
  </si>
  <si>
    <t>GROUND FLOOR - WOMEN - OFFICE SHOES</t>
  </si>
  <si>
    <t>GROUND FLOOR - MEN - H&amp;M</t>
  </si>
  <si>
    <t>GROUND FLOOR - MEN - OFFICE SHOES</t>
  </si>
  <si>
    <t>GROUND FLOOR - WOMEN - H&amp;M</t>
  </si>
  <si>
    <t>FIRST FLOOR - WOMEN - H&amp;M</t>
  </si>
  <si>
    <t>FIRST FLOOR - MEN - H&amp;M</t>
  </si>
  <si>
    <t>FIRST FLOOR - WOMEN - FOODCOURT</t>
  </si>
  <si>
    <t>FIRST FLOOR - MEN - FOODCOURT</t>
  </si>
  <si>
    <t>Wood Wall on Park 2</t>
  </si>
  <si>
    <t>Wood Wall on Park 3_Ice Skate Rink</t>
  </si>
  <si>
    <t>3x1.9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</si>
</sst>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-1]"/>
    <numFmt numFmtId="165" formatCode="[$-409]d\-mmm\-yy;@"/>
    <numFmt numFmtId="166" formatCode="_([$€-2]\ * #,##0.00_);_([$€-2]\ * \(#,##0.00\);_([$€-2]\ * &quot;-&quot;_);_(@_)"/>
  </numFmts>
  <fonts count="1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b/>
      <sz val="14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3" tint="-0.499984740745262"/>
      </patternFill>
    </fill>
    <fill>
      <patternFill patternType="solid">
        <fgColor theme="1"/>
        <bgColor theme="0" tint="-0.14996795556505021"/>
      </patternFill>
    </fill>
    <fill>
      <patternFill patternType="solid">
        <fgColor theme="1"/>
        <bgColor indexed="56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/>
      </patternFill>
    </fill>
    <fill>
      <patternFill patternType="solid">
        <fgColor theme="1"/>
        <bgColor theme="4" tint="0.5999938962981048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indexed="64"/>
      </left>
      <right/>
      <top style="medium">
        <color rgb="FF00B0F0"/>
      </top>
      <bottom style="thin">
        <color indexed="64"/>
      </bottom>
      <diagonal/>
    </border>
    <border>
      <left/>
      <right style="thin">
        <color indexed="64"/>
      </right>
      <top style="medium">
        <color rgb="FF00B0F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B0F0"/>
      </right>
      <top style="medium">
        <color rgb="FF00B0F0"/>
      </top>
      <bottom style="medium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indexed="64"/>
      </left>
      <right/>
      <top style="medium">
        <color rgb="FF00B0F0"/>
      </top>
      <bottom style="medium">
        <color rgb="FF00B0F0"/>
      </bottom>
      <diagonal/>
    </border>
    <border>
      <left/>
      <right style="thin">
        <color indexed="64"/>
      </right>
      <top style="medium">
        <color rgb="FF00B0F0"/>
      </top>
      <bottom style="medium">
        <color rgb="FF00B0F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/>
      <diagonal/>
    </border>
    <border>
      <left style="thin">
        <color rgb="FF00B0F0"/>
      </left>
      <right style="medium">
        <color rgb="FF00B0F0"/>
      </right>
      <top/>
      <bottom style="thin">
        <color indexed="64"/>
      </bottom>
      <diagonal/>
    </border>
    <border>
      <left/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 style="thin">
        <color rgb="FF00B0F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</cellStyleXfs>
  <cellXfs count="113">
    <xf numFmtId="0" fontId="0" fillId="0" borderId="0" xfId="0"/>
    <xf numFmtId="0" fontId="0" fillId="0" borderId="0" xfId="0" applyFont="1" applyAlignment="1">
      <alignment shrinkToFit="1"/>
    </xf>
    <xf numFmtId="3" fontId="0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3" fontId="0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0" fillId="2" borderId="0" xfId="0" applyFont="1" applyFill="1"/>
    <xf numFmtId="0" fontId="5" fillId="6" borderId="6" xfId="0" applyFont="1" applyFill="1" applyBorder="1" applyAlignment="1">
      <alignment horizontal="center" vertical="center" shrinkToFit="1"/>
    </xf>
    <xf numFmtId="0" fontId="5" fillId="6" borderId="8" xfId="0" applyFont="1" applyFill="1" applyBorder="1" applyAlignment="1">
      <alignment horizontal="center" vertical="center" shrinkToFit="1"/>
    </xf>
    <xf numFmtId="0" fontId="5" fillId="6" borderId="11" xfId="0" applyFont="1" applyFill="1" applyBorder="1" applyAlignment="1">
      <alignment horizontal="center" vertical="center" shrinkToFit="1"/>
    </xf>
    <xf numFmtId="0" fontId="5" fillId="6" borderId="3" xfId="0" applyFont="1" applyFill="1" applyBorder="1" applyAlignment="1">
      <alignment vertical="center" shrinkToFit="1"/>
    </xf>
    <xf numFmtId="0" fontId="5" fillId="3" borderId="4" xfId="0" applyFont="1" applyFill="1" applyBorder="1" applyAlignment="1">
      <alignment horizontal="center" vertical="center" shrinkToFit="1"/>
    </xf>
    <xf numFmtId="0" fontId="5" fillId="3" borderId="5" xfId="0" applyFont="1" applyFill="1" applyBorder="1" applyAlignment="1">
      <alignment horizontal="center" vertical="center" shrinkToFit="1"/>
    </xf>
    <xf numFmtId="164" fontId="0" fillId="2" borderId="1" xfId="0" applyNumberFormat="1" applyFont="1" applyFill="1" applyBorder="1" applyAlignment="1">
      <alignment horizontal="center" vertical="center"/>
    </xf>
    <xf numFmtId="0" fontId="3" fillId="2" borderId="1" xfId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0" fillId="2" borderId="0" xfId="0" applyFill="1"/>
    <xf numFmtId="0" fontId="9" fillId="2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0" borderId="18" xfId="0" applyNumberFormat="1" applyFont="1" applyBorder="1" applyAlignment="1">
      <alignment horizontal="center"/>
    </xf>
    <xf numFmtId="166" fontId="5" fillId="8" borderId="20" xfId="0" applyNumberFormat="1" applyFont="1" applyFill="1" applyBorder="1" applyAlignment="1">
      <alignment horizontal="center" vertical="center"/>
    </xf>
    <xf numFmtId="166" fontId="0" fillId="0" borderId="23" xfId="0" applyNumberFormat="1" applyFont="1" applyFill="1" applyBorder="1" applyAlignment="1">
      <alignment horizontal="center" vertical="center"/>
    </xf>
    <xf numFmtId="166" fontId="10" fillId="8" borderId="20" xfId="0" applyNumberFormat="1" applyFont="1" applyFill="1" applyBorder="1" applyAlignment="1">
      <alignment horizontal="center" vertical="center"/>
    </xf>
    <xf numFmtId="0" fontId="0" fillId="2" borderId="1" xfId="1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shrinkToFi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shrinkToFit="1"/>
    </xf>
    <xf numFmtId="0" fontId="7" fillId="4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/>
    </xf>
    <xf numFmtId="0" fontId="3" fillId="2" borderId="1" xfId="1" applyFill="1" applyBorder="1" applyAlignment="1">
      <alignment horizontal="center" vertical="center"/>
    </xf>
    <xf numFmtId="9" fontId="2" fillId="2" borderId="1" xfId="2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0" fillId="2" borderId="32" xfId="0" applyFont="1" applyFill="1" applyBorder="1" applyAlignment="1">
      <alignment horizontal="center" vertical="center"/>
    </xf>
    <xf numFmtId="0" fontId="0" fillId="2" borderId="3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2" borderId="30" xfId="1" applyFont="1" applyFill="1" applyBorder="1" applyAlignment="1">
      <alignment horizontal="center" vertical="center" wrapText="1"/>
    </xf>
    <xf numFmtId="0" fontId="3" fillId="2" borderId="30" xfId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5" fillId="2" borderId="1" xfId="0" applyNumberFormat="1" applyFont="1" applyFill="1" applyBorder="1" applyAlignment="1">
      <alignment horizontal="center"/>
    </xf>
    <xf numFmtId="0" fontId="3" fillId="2" borderId="0" xfId="1" applyFill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 shrinkToFit="1"/>
    </xf>
    <xf numFmtId="3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31" xfId="0" applyNumberFormat="1" applyFont="1" applyFill="1" applyBorder="1" applyAlignment="1">
      <alignment horizontal="center" vertical="center"/>
    </xf>
    <xf numFmtId="164" fontId="0" fillId="2" borderId="32" xfId="0" applyNumberFormat="1" applyFont="1" applyFill="1" applyBorder="1" applyAlignment="1">
      <alignment horizontal="center" vertical="center"/>
    </xf>
    <xf numFmtId="164" fontId="0" fillId="2" borderId="31" xfId="0" applyNumberFormat="1" applyFill="1" applyBorder="1" applyAlignment="1">
      <alignment horizontal="center" vertical="center"/>
    </xf>
    <xf numFmtId="164" fontId="0" fillId="2" borderId="32" xfId="0" applyNumberFormat="1" applyFill="1" applyBorder="1" applyAlignment="1">
      <alignment horizontal="center" vertical="center"/>
    </xf>
    <xf numFmtId="9" fontId="2" fillId="2" borderId="31" xfId="2" applyFont="1" applyFill="1" applyBorder="1" applyAlignment="1">
      <alignment horizontal="center" vertical="center"/>
    </xf>
    <xf numFmtId="9" fontId="2" fillId="2" borderId="32" xfId="2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center" vertical="center" wrapText="1"/>
    </xf>
    <xf numFmtId="164" fontId="11" fillId="2" borderId="31" xfId="0" applyNumberFormat="1" applyFont="1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 wrapText="1"/>
    </xf>
    <xf numFmtId="164" fontId="11" fillId="2" borderId="32" xfId="0" applyNumberFormat="1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9" fillId="2" borderId="31" xfId="1" applyFont="1" applyFill="1" applyBorder="1" applyAlignment="1">
      <alignment horizontal="center" vertical="center" wrapText="1"/>
    </xf>
    <xf numFmtId="0" fontId="2" fillId="2" borderId="31" xfId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64" fontId="0" fillId="2" borderId="31" xfId="0" applyNumberFormat="1" applyFont="1" applyFill="1" applyBorder="1" applyAlignment="1">
      <alignment horizontal="center" vertical="center"/>
    </xf>
    <xf numFmtId="164" fontId="0" fillId="2" borderId="32" xfId="0" applyNumberFormat="1" applyFont="1" applyFill="1" applyBorder="1" applyAlignment="1">
      <alignment horizontal="center" vertical="center"/>
    </xf>
    <xf numFmtId="164" fontId="0" fillId="2" borderId="31" xfId="0" applyNumberFormat="1" applyFill="1" applyBorder="1" applyAlignment="1">
      <alignment horizontal="center" vertical="center"/>
    </xf>
    <xf numFmtId="164" fontId="0" fillId="2" borderId="32" xfId="0" applyNumberFormat="1" applyFill="1" applyBorder="1" applyAlignment="1">
      <alignment horizontal="center" vertical="center"/>
    </xf>
    <xf numFmtId="9" fontId="2" fillId="2" borderId="31" xfId="2" applyFont="1" applyFill="1" applyBorder="1" applyAlignment="1">
      <alignment horizontal="center" vertical="center"/>
    </xf>
    <xf numFmtId="9" fontId="2" fillId="2" borderId="32" xfId="2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 wrapText="1" shrinkToFit="1"/>
    </xf>
    <xf numFmtId="0" fontId="12" fillId="3" borderId="28" xfId="0" applyFont="1" applyFill="1" applyBorder="1" applyAlignment="1">
      <alignment horizontal="center" vertical="center" wrapText="1" shrinkToFit="1"/>
    </xf>
    <xf numFmtId="0" fontId="0" fillId="0" borderId="21" xfId="0" applyFill="1" applyBorder="1" applyAlignment="1">
      <alignment horizontal="left" vertical="center"/>
    </xf>
    <xf numFmtId="0" fontId="0" fillId="0" borderId="22" xfId="0" applyFill="1" applyBorder="1" applyAlignment="1">
      <alignment horizontal="left" vertical="center"/>
    </xf>
    <xf numFmtId="0" fontId="10" fillId="8" borderId="13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8" fillId="5" borderId="6" xfId="0" applyFont="1" applyFill="1" applyBorder="1" applyAlignment="1">
      <alignment horizontal="center" vertical="center" shrinkToFit="1"/>
    </xf>
    <xf numFmtId="0" fontId="8" fillId="5" borderId="12" xfId="0" applyFont="1" applyFill="1" applyBorder="1" applyAlignment="1">
      <alignment horizontal="center" vertical="center" shrinkToFit="1"/>
    </xf>
    <xf numFmtId="0" fontId="5" fillId="6" borderId="4" xfId="0" applyFont="1" applyFill="1" applyBorder="1" applyAlignment="1">
      <alignment horizontal="center" vertical="center" shrinkToFit="1"/>
    </xf>
    <xf numFmtId="0" fontId="5" fillId="6" borderId="7" xfId="0" applyFont="1" applyFill="1" applyBorder="1" applyAlignment="1">
      <alignment horizontal="center" vertical="center" shrinkToFit="1"/>
    </xf>
    <xf numFmtId="0" fontId="5" fillId="6" borderId="9" xfId="0" applyFont="1" applyFill="1" applyBorder="1" applyAlignment="1">
      <alignment horizontal="center" vertical="center" shrinkToFit="1"/>
    </xf>
    <xf numFmtId="0" fontId="5" fillId="6" borderId="10" xfId="0" applyFont="1" applyFill="1" applyBorder="1" applyAlignment="1">
      <alignment horizontal="center" vertical="center" shrinkToFit="1"/>
    </xf>
    <xf numFmtId="0" fontId="5" fillId="6" borderId="2" xfId="0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 wrapText="1" shrinkToFit="1"/>
    </xf>
    <xf numFmtId="0" fontId="6" fillId="5" borderId="5" xfId="0" applyFont="1" applyFill="1" applyBorder="1" applyAlignment="1">
      <alignment horizontal="center" vertical="center" wrapText="1" shrinkToFit="1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5" fillId="8" borderId="13" xfId="0" applyFont="1" applyFill="1" applyBorder="1" applyAlignment="1">
      <alignment horizontal="left"/>
    </xf>
    <xf numFmtId="0" fontId="5" fillId="8" borderId="19" xfId="0" applyFont="1" applyFill="1" applyBorder="1" applyAlignment="1">
      <alignment horizontal="left"/>
    </xf>
    <xf numFmtId="164" fontId="11" fillId="2" borderId="31" xfId="0" applyNumberFormat="1" applyFont="1" applyFill="1" applyBorder="1" applyAlignment="1">
      <alignment horizontal="center" vertical="center" wrapText="1"/>
    </xf>
    <xf numFmtId="164" fontId="11" fillId="2" borderId="32" xfId="0" applyNumberFormat="1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shrinkToFit="1"/>
    </xf>
    <xf numFmtId="0" fontId="7" fillId="3" borderId="26" xfId="0" applyFont="1" applyFill="1" applyBorder="1" applyAlignment="1">
      <alignment horizontal="center" vertical="center" shrinkToFit="1"/>
    </xf>
    <xf numFmtId="0" fontId="7" fillId="3" borderId="24" xfId="0" applyFont="1" applyFill="1" applyBorder="1" applyAlignment="1">
      <alignment horizontal="center" vertical="center" wrapText="1" shrinkToFit="1"/>
    </xf>
    <xf numFmtId="0" fontId="7" fillId="3" borderId="25" xfId="0" applyFont="1" applyFill="1" applyBorder="1" applyAlignment="1">
      <alignment horizontal="center" vertical="center" wrapText="1" shrinkToFit="1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 shrinkToFit="1"/>
    </xf>
    <xf numFmtId="0" fontId="7" fillId="3" borderId="5" xfId="0" applyFont="1" applyFill="1" applyBorder="1" applyAlignment="1">
      <alignment horizontal="center" vertical="center" wrapText="1" shrinkToFit="1"/>
    </xf>
    <xf numFmtId="0" fontId="7" fillId="3" borderId="27" xfId="0" applyFont="1" applyFill="1" applyBorder="1" applyAlignment="1">
      <alignment horizontal="center" vertical="center" wrapText="1" shrinkToFit="1"/>
    </xf>
    <xf numFmtId="0" fontId="7" fillId="3" borderId="28" xfId="0" applyFont="1" applyFill="1" applyBorder="1" applyAlignment="1">
      <alignment horizontal="center" vertical="center" wrapText="1" shrinkToFit="1"/>
    </xf>
    <xf numFmtId="0" fontId="5" fillId="3" borderId="4" xfId="0" applyFont="1" applyFill="1" applyBorder="1" applyAlignment="1">
      <alignment horizontal="center" vertical="center" wrapText="1" shrinkToFit="1"/>
    </xf>
    <xf numFmtId="0" fontId="5" fillId="3" borderId="5" xfId="0" applyFont="1" applyFill="1" applyBorder="1" applyAlignment="1">
      <alignment horizontal="center" vertical="center" wrapText="1" shrinkToFit="1"/>
    </xf>
    <xf numFmtId="0" fontId="7" fillId="3" borderId="4" xfId="0" applyFont="1" applyFill="1" applyBorder="1" applyAlignment="1">
      <alignment horizontal="center" vertical="center" shrinkToFit="1"/>
    </xf>
    <xf numFmtId="0" fontId="7" fillId="3" borderId="5" xfId="0" applyFont="1" applyFill="1" applyBorder="1" applyAlignment="1">
      <alignment horizontal="center" vertical="center" shrinkToFit="1"/>
    </xf>
  </cellXfs>
  <cellStyles count="5">
    <cellStyle name="Hyperlink" xfId="1" builtinId="8"/>
    <cellStyle name="Hyperlink 6" xfId="3" xr:uid="{00000000-0005-0000-0000-000001000000}"/>
    <cellStyle name="Normal" xfId="0" builtinId="0"/>
    <cellStyle name="Normal 26" xfId="4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48704</xdr:rowOff>
    </xdr:from>
    <xdr:to>
      <xdr:col>5</xdr:col>
      <xdr:colOff>3565179</xdr:colOff>
      <xdr:row>4</xdr:row>
      <xdr:rowOff>133813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90562B-7B97-4AA9-9387-552BD9110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8939893" y="239204"/>
          <a:ext cx="3561369" cy="6255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1drv.ms/u/s!Aj9ew2sN5JZXhVCiDjn6TujTb7pY?e=37aoGd" TargetMode="External"/><Relationship Id="rId21" Type="http://schemas.openxmlformats.org/officeDocument/2006/relationships/hyperlink" Target="https://1drv.ms/u/s!Aj9ew2sN5JZXg3NPhXLwFI3Ai2xZ" TargetMode="External"/><Relationship Id="rId42" Type="http://schemas.openxmlformats.org/officeDocument/2006/relationships/hyperlink" Target="https://1drv.ms/u/s!Aj9ew2sN5JZXhAZ6QW95hHiasKFv" TargetMode="External"/><Relationship Id="rId63" Type="http://schemas.openxmlformats.org/officeDocument/2006/relationships/hyperlink" Target="https://1drv.ms/u/s!Aj9ew2sN5JZXgmMhX8iijumqdLNE" TargetMode="External"/><Relationship Id="rId84" Type="http://schemas.openxmlformats.org/officeDocument/2006/relationships/hyperlink" Target="https://1drv.ms/v/s!Aj9ew2sN5JZXimbfXAd7GyyXp4Y6?e=nsvEFv" TargetMode="External"/><Relationship Id="rId138" Type="http://schemas.openxmlformats.org/officeDocument/2006/relationships/hyperlink" Target="https://1drv.ms/u/s!Aj9ew2sN5JZXjE2Zj4Wa2uCE94T1?e=eMQ7DE" TargetMode="External"/><Relationship Id="rId159" Type="http://schemas.openxmlformats.org/officeDocument/2006/relationships/hyperlink" Target="https://drive.google.com/file/d/1t-LZgL_Zum64aEI8onJp-jfqBqHZnCuF/view?usp=sharing" TargetMode="External"/><Relationship Id="rId170" Type="http://schemas.openxmlformats.org/officeDocument/2006/relationships/hyperlink" Target="https://drive.google.com/file/d/1XRautp_V17WMabc9H8AAhOFWudOl1BmF/view?usp=sharing" TargetMode="External"/><Relationship Id="rId107" Type="http://schemas.openxmlformats.org/officeDocument/2006/relationships/hyperlink" Target="https://1drv.ms/u/s!Aj9ew2sN5JZXgjY5djERg31AQrp8?e=8itmUH" TargetMode="External"/><Relationship Id="rId11" Type="http://schemas.openxmlformats.org/officeDocument/2006/relationships/hyperlink" Target="https://1drv.ms/u/s!Aj9ew2sN5JZXg25wnr56dulq1iYh" TargetMode="External"/><Relationship Id="rId32" Type="http://schemas.openxmlformats.org/officeDocument/2006/relationships/hyperlink" Target="https://1drv.ms/u/s!Aj9ew2sN5JZXhAXWDVoeolIUIzy3" TargetMode="External"/><Relationship Id="rId53" Type="http://schemas.openxmlformats.org/officeDocument/2006/relationships/hyperlink" Target="https://1drv.ms/u/s!Aj9ew2sN5JZXhAtlo7meQDChSvpI" TargetMode="External"/><Relationship Id="rId74" Type="http://schemas.openxmlformats.org/officeDocument/2006/relationships/hyperlink" Target="https://1drv.ms/u/s!Aj9ew2sN5JZXhBSDrq2vy4ys1bDb" TargetMode="External"/><Relationship Id="rId128" Type="http://schemas.openxmlformats.org/officeDocument/2006/relationships/hyperlink" Target="https://1drv.ms/u/s!Aj9ew2sN5JZXglTVBiGoH15rBYAO?e=rHG3lN" TargetMode="External"/><Relationship Id="rId149" Type="http://schemas.openxmlformats.org/officeDocument/2006/relationships/hyperlink" Target="https://drive.google.com/file/d/1XlxSGydf8CGip3WS4-DZUpApBRD50d2g/view?usp=sharing" TargetMode="External"/><Relationship Id="rId5" Type="http://schemas.openxmlformats.org/officeDocument/2006/relationships/hyperlink" Target="https://1drv.ms/u/s!Aj9ew2sN5JZXhWwYLGHGNLW3pVWd?e=ExCoSf" TargetMode="External"/><Relationship Id="rId95" Type="http://schemas.openxmlformats.org/officeDocument/2006/relationships/hyperlink" Target="https://1drv.ms/u/s!Aj9ew2sN5JZXiBti9LeRY7DPsto6?e=ugrbqA" TargetMode="External"/><Relationship Id="rId160" Type="http://schemas.openxmlformats.org/officeDocument/2006/relationships/hyperlink" Target="https://drive.google.com/file/d/1v86qWiZwb1IXok3xILL6_Owt51TyrfPY/view?usp=sharing" TargetMode="External"/><Relationship Id="rId181" Type="http://schemas.openxmlformats.org/officeDocument/2006/relationships/hyperlink" Target="https://drive.google.com/file/d/1AV8I3mcuL7A-Dhibgml3xSId1Unakmay/view?usp=sharing" TargetMode="External"/><Relationship Id="rId22" Type="http://schemas.openxmlformats.org/officeDocument/2006/relationships/hyperlink" Target="https://1drv.ms/u/s!Aj9ew2sN5JZXgmvP1wvuVw7tyM5u" TargetMode="External"/><Relationship Id="rId43" Type="http://schemas.openxmlformats.org/officeDocument/2006/relationships/hyperlink" Target="https://1drv.ms/u/s!Aj9ew2sN5JZXhAz1kFf5KHLckC__" TargetMode="External"/><Relationship Id="rId64" Type="http://schemas.openxmlformats.org/officeDocument/2006/relationships/hyperlink" Target="https://1drv.ms/u/s!Aj9ew2sN5JZXgmH3U_4eVEyWFl65" TargetMode="External"/><Relationship Id="rId118" Type="http://schemas.openxmlformats.org/officeDocument/2006/relationships/hyperlink" Target="https://1drv.ms/u/s!Aj9ew2sN5JZXhT6539lYdFdnypMB?e=k4Qsmf" TargetMode="External"/><Relationship Id="rId139" Type="http://schemas.openxmlformats.org/officeDocument/2006/relationships/hyperlink" Target="https://drive.google.com/file/d/1YAgnO-6E4ZV_y_HfHPu63U0sheUZ3DEH/view?usp=sharing" TargetMode="External"/><Relationship Id="rId85" Type="http://schemas.openxmlformats.org/officeDocument/2006/relationships/hyperlink" Target="https://1drv.ms/u/s!Aj9ew2sN5JZXimnpMvuY_nRwwnEY?e=mFWC27" TargetMode="External"/><Relationship Id="rId150" Type="http://schemas.openxmlformats.org/officeDocument/2006/relationships/hyperlink" Target="https://drive.google.com/file/d/1IHwtOd3DuBg4flFtVWGCT8Hp4gvjqhaw/view?usp=sharing" TargetMode="External"/><Relationship Id="rId171" Type="http://schemas.openxmlformats.org/officeDocument/2006/relationships/hyperlink" Target="https://drive.google.com/file/d/13E50_YwLfWoI4_Er1oxmA4Xf8euQF08C/view?usp=sharing" TargetMode="External"/><Relationship Id="rId12" Type="http://schemas.openxmlformats.org/officeDocument/2006/relationships/hyperlink" Target="https://1drv.ms/u/s!Aj9ew2sN5JZXgl6SqrKWTzhswW85" TargetMode="External"/><Relationship Id="rId33" Type="http://schemas.openxmlformats.org/officeDocument/2006/relationships/hyperlink" Target="https://1drv.ms/u/s!Aj9ew2sN5JZXg2_08yJ4BrbbOjcq" TargetMode="External"/><Relationship Id="rId108" Type="http://schemas.openxmlformats.org/officeDocument/2006/relationships/hyperlink" Target="https://1drv.ms/u/s!Aj9ew2sN5JZXhgA4Ed3NcdjED5cA?e=G6Sfik" TargetMode="External"/><Relationship Id="rId129" Type="http://schemas.openxmlformats.org/officeDocument/2006/relationships/hyperlink" Target="https://1drv.ms/u/s!Aj9ew2sN5JZXinBVW-EJqFNZ3iil?e=8cThQk" TargetMode="External"/><Relationship Id="rId54" Type="http://schemas.openxmlformats.org/officeDocument/2006/relationships/hyperlink" Target="https://1drv.ms/u/s!Aj9ew2sN5JZXgw4mcbf47qGDqxMR" TargetMode="External"/><Relationship Id="rId75" Type="http://schemas.openxmlformats.org/officeDocument/2006/relationships/hyperlink" Target="https://1drv.ms/u/s!Aj9ew2sN5JZXhBUZfOzV-UAelopv" TargetMode="External"/><Relationship Id="rId96" Type="http://schemas.openxmlformats.org/officeDocument/2006/relationships/hyperlink" Target="https://1drv.ms/u/s!Aj9ew2sN5JZXhgkZ4BxPUQrgC8Sv?e=HTIv20" TargetMode="External"/><Relationship Id="rId140" Type="http://schemas.openxmlformats.org/officeDocument/2006/relationships/hyperlink" Target="https://drive.google.com/file/d/1C_UWWkDkVl0YZzFx4uiPBMTlKopoXxcw/view?usp=sharing" TargetMode="External"/><Relationship Id="rId161" Type="http://schemas.openxmlformats.org/officeDocument/2006/relationships/hyperlink" Target="https://drive.google.com/file/d/12-PKbjfDafTStcLy0UVyCYNkkuP_2qM4/view?usp=sharing" TargetMode="External"/><Relationship Id="rId182" Type="http://schemas.openxmlformats.org/officeDocument/2006/relationships/hyperlink" Target="https://drive.google.com/file/d/1AV8I3mcuL7A-Dhibgml3xSId1Unakmay/view?usp=sharing" TargetMode="External"/><Relationship Id="rId6" Type="http://schemas.openxmlformats.org/officeDocument/2006/relationships/hyperlink" Target="https://1drv.ms/u/s!Aj9ew2sN5JZXhUH1DF3_ylP5DG8i?e=EUQajk" TargetMode="External"/><Relationship Id="rId23" Type="http://schemas.openxmlformats.org/officeDocument/2006/relationships/hyperlink" Target="https://1drv.ms/u/s!Aj9ew2sN5JZXgmvP1wvuVw7tyM5u" TargetMode="External"/><Relationship Id="rId119" Type="http://schemas.openxmlformats.org/officeDocument/2006/relationships/hyperlink" Target="https://1drv.ms/u/s!Aj9ew2sN5JZXgjStnOMaD3Dww9wm?e=AxlVif" TargetMode="External"/><Relationship Id="rId44" Type="http://schemas.openxmlformats.org/officeDocument/2006/relationships/hyperlink" Target="https://1drv.ms/u/s!Aj9ew2sN5JZXgwHyENQR7Y8eXjCG" TargetMode="External"/><Relationship Id="rId65" Type="http://schemas.openxmlformats.org/officeDocument/2006/relationships/hyperlink" Target="https://1drv.ms/u/s!Aj9ew2sN5JZXgmD_urPYtUMvC34C" TargetMode="External"/><Relationship Id="rId86" Type="http://schemas.openxmlformats.org/officeDocument/2006/relationships/hyperlink" Target="https://1drv.ms/u/s!Aj9ew2sN5JZXgjUFw3eOK8pNQdpL?e=aCAICF" TargetMode="External"/><Relationship Id="rId130" Type="http://schemas.openxmlformats.org/officeDocument/2006/relationships/hyperlink" Target="https://1drv.ms/u/s!Aj9ew2sN5JZXhXfyxoN7LNQwR6ei?e=PgZNrx" TargetMode="External"/><Relationship Id="rId151" Type="http://schemas.openxmlformats.org/officeDocument/2006/relationships/hyperlink" Target="https://drive.google.com/file/d/1nppZJSi0whxzaCeZ0CrOo3hm8UPoqUzw/view?usp=sharing" TargetMode="External"/><Relationship Id="rId172" Type="http://schemas.openxmlformats.org/officeDocument/2006/relationships/hyperlink" Target="https://drive.google.com/file/d/1Tn8P4gQDPu1D9usQJLd9KmQiFenSfwQ5/view?usp=sharing" TargetMode="External"/><Relationship Id="rId13" Type="http://schemas.openxmlformats.org/officeDocument/2006/relationships/hyperlink" Target="https://1drv.ms/u/s!Aj9ew2sN5JZXgl-DwE4Q6v6re3-O" TargetMode="External"/><Relationship Id="rId18" Type="http://schemas.openxmlformats.org/officeDocument/2006/relationships/hyperlink" Target="https://1drv.ms/u/s!Aj9ew2sN5JZXhBrYOvKLkYLUwtA5" TargetMode="External"/><Relationship Id="rId39" Type="http://schemas.openxmlformats.org/officeDocument/2006/relationships/hyperlink" Target="https://1drv.ms/u/s!Aj9ew2sN5JZXgnxnV19EI1EHr2sP" TargetMode="External"/><Relationship Id="rId109" Type="http://schemas.openxmlformats.org/officeDocument/2006/relationships/hyperlink" Target="https://1drv.ms/u/s!Aj9ew2sN5JZXixskAipH_d5V1OIR?e=7lIGmo" TargetMode="External"/><Relationship Id="rId34" Type="http://schemas.openxmlformats.org/officeDocument/2006/relationships/hyperlink" Target="https://1drv.ms/u/s!Aj9ew2sN5JZXhBG_-iuC5DATjK4U" TargetMode="External"/><Relationship Id="rId50" Type="http://schemas.openxmlformats.org/officeDocument/2006/relationships/hyperlink" Target="https://1drv.ms/u/s!Aj9ew2sN5JZXgwj_7JaI6HP7btT7" TargetMode="External"/><Relationship Id="rId55" Type="http://schemas.openxmlformats.org/officeDocument/2006/relationships/hyperlink" Target="https://1drv.ms/u/s!Aj9ew2sN5JZXhBOzwAhqOdTUwl_r" TargetMode="External"/><Relationship Id="rId76" Type="http://schemas.openxmlformats.org/officeDocument/2006/relationships/hyperlink" Target="https://1drv.ms/u/s!Aj9ew2sN5JZXhBaNupC0rxp9ajRQ" TargetMode="External"/><Relationship Id="rId97" Type="http://schemas.openxmlformats.org/officeDocument/2006/relationships/hyperlink" Target="https://1drv.ms/u/s!Aj9ew2sN5JZXgjjDR4t189x2i3BC?e=s7W618" TargetMode="External"/><Relationship Id="rId104" Type="http://schemas.openxmlformats.org/officeDocument/2006/relationships/hyperlink" Target="https://1drv.ms/u/s!Aj9ew2sN5JZXhVW0HNAr6Ajmt4SA?e=izVxmf" TargetMode="External"/><Relationship Id="rId120" Type="http://schemas.openxmlformats.org/officeDocument/2006/relationships/hyperlink" Target="https://1drv.ms/u/s!Aj9ew2sN5JZXglEsSu96655Ko-dy?e=9j13j5" TargetMode="External"/><Relationship Id="rId125" Type="http://schemas.openxmlformats.org/officeDocument/2006/relationships/hyperlink" Target="https://1drv.ms/u/s!Aj9ew2sN5JZXhTd2bsdpYYEvpYbC?e=emjIxO" TargetMode="External"/><Relationship Id="rId141" Type="http://schemas.openxmlformats.org/officeDocument/2006/relationships/hyperlink" Target="https://drive.google.com/file/d/1XUdnLasWjf7gzzZ_qYGFslNTZhzO7NwP/view?usp=sharing" TargetMode="External"/><Relationship Id="rId146" Type="http://schemas.openxmlformats.org/officeDocument/2006/relationships/hyperlink" Target="https://drive.google.com/file/d/1nHFl18KX5xZmaWIcKVk_xHG44TnC7pLC/view?usp=sharing" TargetMode="External"/><Relationship Id="rId167" Type="http://schemas.openxmlformats.org/officeDocument/2006/relationships/hyperlink" Target="https://drive.google.com/file/d/1f-s0mWkyBdJDiQbijJWl6-Zly_o9yJMj/view?usp=sharing" TargetMode="External"/><Relationship Id="rId188" Type="http://schemas.openxmlformats.org/officeDocument/2006/relationships/drawing" Target="../drawings/drawing1.xml"/><Relationship Id="rId7" Type="http://schemas.openxmlformats.org/officeDocument/2006/relationships/hyperlink" Target="https://1drv.ms/u/s!Aj9ew2sN5JZXgjVJBzrpeO-8lJnk" TargetMode="External"/><Relationship Id="rId71" Type="http://schemas.openxmlformats.org/officeDocument/2006/relationships/hyperlink" Target="https://1drv.ms/u/s!Aj9ew2sN5JZXgntA9BcVQARttK57" TargetMode="External"/><Relationship Id="rId92" Type="http://schemas.openxmlformats.org/officeDocument/2006/relationships/hyperlink" Target="https://1drv.ms/u/s!Aj9ew2sN5JZXhghHhtaNchYpKDCb?e=5l29U8" TargetMode="External"/><Relationship Id="rId162" Type="http://schemas.openxmlformats.org/officeDocument/2006/relationships/hyperlink" Target="https://drive.google.com/file/d/1I7wWGmI_5jvenxQ5VPcqLcvDoLVhUcZm/view?usp=sharing" TargetMode="External"/><Relationship Id="rId183" Type="http://schemas.openxmlformats.org/officeDocument/2006/relationships/hyperlink" Target="https://drive.google.com/file/d/1AV8I3mcuL7A-Dhibgml3xSId1Unakmay/view?usp=sharing" TargetMode="External"/><Relationship Id="rId2" Type="http://schemas.openxmlformats.org/officeDocument/2006/relationships/hyperlink" Target="https://1drv.ms/u/s!Aj9ew2sN5JZXhgU3aPD-02DnPv3l?e=trN3uD" TargetMode="External"/><Relationship Id="rId29" Type="http://schemas.openxmlformats.org/officeDocument/2006/relationships/hyperlink" Target="https://1drv.ms/u/s!Aj9ew2sN5JZXhBgAK81kQgyBRBh5" TargetMode="External"/><Relationship Id="rId24" Type="http://schemas.openxmlformats.org/officeDocument/2006/relationships/hyperlink" Target="https://1drv.ms/u/s!Aj9ew2sN5JZXgmxFb69hFm90uONZ" TargetMode="External"/><Relationship Id="rId40" Type="http://schemas.openxmlformats.org/officeDocument/2006/relationships/hyperlink" Target="https://1drv.ms/u/s!Aj9ew2sN5JZXhAep7NT9MmfzPLKR" TargetMode="External"/><Relationship Id="rId45" Type="http://schemas.openxmlformats.org/officeDocument/2006/relationships/hyperlink" Target="https://1drv.ms/u/s!Aj9ew2sN5JZXgwPc0jfLdigdHu16" TargetMode="External"/><Relationship Id="rId66" Type="http://schemas.openxmlformats.org/officeDocument/2006/relationships/hyperlink" Target="http://www.getindoor.eu/offers/02/06.JPG" TargetMode="External"/><Relationship Id="rId87" Type="http://schemas.openxmlformats.org/officeDocument/2006/relationships/hyperlink" Target="https://1drv.ms/u/s!Aj9ew2sN5JZXhW8pc5rAaYlOiR-N?e=ibqhgd" TargetMode="External"/><Relationship Id="rId110" Type="http://schemas.openxmlformats.org/officeDocument/2006/relationships/hyperlink" Target="https://1drv.ms/u/s!Aj9ew2sN5JZXhV7Bm0XY-Dfe8Lgk?e=ZZSMob" TargetMode="External"/><Relationship Id="rId115" Type="http://schemas.openxmlformats.org/officeDocument/2006/relationships/hyperlink" Target="https://1drv.ms/u/s!Aj9ew2sN5JZXgk_kOuk32rco3ICd?e=CyPRi7" TargetMode="External"/><Relationship Id="rId131" Type="http://schemas.openxmlformats.org/officeDocument/2006/relationships/hyperlink" Target="https://1drv.ms/u/s!Aj9ew2sN5JZXhWjzKaOI-KwJw1h1?e=510yIy" TargetMode="External"/><Relationship Id="rId136" Type="http://schemas.openxmlformats.org/officeDocument/2006/relationships/hyperlink" Target="https://1drv.ms/u/s!Aj9ew2sN5JZXhgI3Hgwa1XPvdLkz?e=T5DnYn" TargetMode="External"/><Relationship Id="rId157" Type="http://schemas.openxmlformats.org/officeDocument/2006/relationships/hyperlink" Target="https://drive.google.com/file/d/1cCXup5I0R4CbOp9Ck7tzJelavKT4xqvB/view?usp=sharing" TargetMode="External"/><Relationship Id="rId178" Type="http://schemas.openxmlformats.org/officeDocument/2006/relationships/hyperlink" Target="https://drive.google.com/file/d/1t2jzbKzLXHcqQ18V5dp6msAaJlILuQ_2/view?usp=sharing" TargetMode="External"/><Relationship Id="rId61" Type="http://schemas.openxmlformats.org/officeDocument/2006/relationships/hyperlink" Target="https://1drv.ms/u/s!Aj9ew2sN5JZXgmU-na7IzO7_vgN0" TargetMode="External"/><Relationship Id="rId82" Type="http://schemas.openxmlformats.org/officeDocument/2006/relationships/hyperlink" Target="https://1drv.ms/u/s!Aj9ew2sN5JZXhCOsQVmS-M-ze00b" TargetMode="External"/><Relationship Id="rId152" Type="http://schemas.openxmlformats.org/officeDocument/2006/relationships/hyperlink" Target="https://drive.google.com/file/d/1UJtY48Js_UbAfI7eBVEL42BTq8j53PLV/view?usp=sharing" TargetMode="External"/><Relationship Id="rId173" Type="http://schemas.openxmlformats.org/officeDocument/2006/relationships/hyperlink" Target="https://drive.google.com/file/d/1C3MXDBkJ8XbbSawzCn-eDntdbqCUBE_e/view?usp=sharing" TargetMode="External"/><Relationship Id="rId19" Type="http://schemas.openxmlformats.org/officeDocument/2006/relationships/hyperlink" Target="https://1drv.ms/u/s!Aj9ew2sN5JZXgmjE33W-CLPY79PV" TargetMode="External"/><Relationship Id="rId14" Type="http://schemas.openxmlformats.org/officeDocument/2006/relationships/hyperlink" Target="http://www.getindoor.eu/offers/02/10.JPG" TargetMode="External"/><Relationship Id="rId30" Type="http://schemas.openxmlformats.org/officeDocument/2006/relationships/hyperlink" Target="https://1drv.ms/u/s!Aj9ew2sN5JZXgnH90i1_da6boVnu" TargetMode="External"/><Relationship Id="rId35" Type="http://schemas.openxmlformats.org/officeDocument/2006/relationships/hyperlink" Target="https://1drv.ms/u/s!Aj9ew2sN5JZXgnejnsJ2GPDAo0tj" TargetMode="External"/><Relationship Id="rId56" Type="http://schemas.openxmlformats.org/officeDocument/2006/relationships/hyperlink" Target="https://1drv.ms/u/s!Aj9ew2sN5JZXgxGiTvmiclt_p2Z-" TargetMode="External"/><Relationship Id="rId77" Type="http://schemas.openxmlformats.org/officeDocument/2006/relationships/hyperlink" Target="https://1drv.ms/u/s!Aj9ew2sN5JZXhBv0dhHbYmHQzR9q" TargetMode="External"/><Relationship Id="rId100" Type="http://schemas.openxmlformats.org/officeDocument/2006/relationships/hyperlink" Target="https://1drv.ms/u/s!Aj9ew2sN5JZXgjpfSYm_LjX92RqI?e=sGseMO" TargetMode="External"/><Relationship Id="rId105" Type="http://schemas.openxmlformats.org/officeDocument/2006/relationships/hyperlink" Target="https://1drv.ms/u/s!Aj9ew2sN5JZXhVZNMOVi-xERYgOq?e=ryt8xe" TargetMode="External"/><Relationship Id="rId126" Type="http://schemas.openxmlformats.org/officeDocument/2006/relationships/hyperlink" Target="https://1drv.ms/u/s!Aj9ew2sN5JZXhV0soQCHtcrN6EKd?e=tun0sj" TargetMode="External"/><Relationship Id="rId147" Type="http://schemas.openxmlformats.org/officeDocument/2006/relationships/hyperlink" Target="https://drive.google.com/file/d/1qcP6NhYVvnKBrAK4UcYRyN7D9HymEBp8/view?usp=sharing" TargetMode="External"/><Relationship Id="rId168" Type="http://schemas.openxmlformats.org/officeDocument/2006/relationships/hyperlink" Target="https://drive.google.com/file/d/1JXdqqgh3Ov6yszHTFOrTz2Vx3bkLZWGr/view?usp=sharing" TargetMode="External"/><Relationship Id="rId8" Type="http://schemas.openxmlformats.org/officeDocument/2006/relationships/hyperlink" Target="https://1drv.ms/u/s!Aj9ew2sN5JZXhAqKxDcU-jvMuldd" TargetMode="External"/><Relationship Id="rId51" Type="http://schemas.openxmlformats.org/officeDocument/2006/relationships/hyperlink" Target="https://1drv.ms/u/s!Aj9ew2sN5JZXgwpnE1FYL3Tw5V73" TargetMode="External"/><Relationship Id="rId72" Type="http://schemas.openxmlformats.org/officeDocument/2006/relationships/hyperlink" Target="https://1drv.ms/u/s!Aj9ew2sN5JZXhA8vqZ2brargsLYC" TargetMode="External"/><Relationship Id="rId93" Type="http://schemas.openxmlformats.org/officeDocument/2006/relationships/hyperlink" Target="https://1drv.ms/u/s!Aj9ew2sN5JZXhXjy80jmOrBKl9fk?e=mgLoab" TargetMode="External"/><Relationship Id="rId98" Type="http://schemas.openxmlformats.org/officeDocument/2006/relationships/hyperlink" Target="https://1drv.ms/u/s!Aj9ew2sN5JZXgk41ljDP4ovjzQ5P?e=esO6Ym" TargetMode="External"/><Relationship Id="rId121" Type="http://schemas.openxmlformats.org/officeDocument/2006/relationships/hyperlink" Target="https://1drv.ms/u/s!Aj9ew2sN5JZXhVzLhzQ2BKVSj2v8?e=LKSqRx" TargetMode="External"/><Relationship Id="rId142" Type="http://schemas.openxmlformats.org/officeDocument/2006/relationships/hyperlink" Target="https://drive.google.com/file/d/1tta_pQg5ah2PRwFS69kdullCv6Zg3RII/view?usp=sharing" TargetMode="External"/><Relationship Id="rId163" Type="http://schemas.openxmlformats.org/officeDocument/2006/relationships/hyperlink" Target="https://drive.google.com/file/d/1I7wWGmI_5jvenxQ5VPcqLcvDoLVhUcZm/view?usp=sharing" TargetMode="External"/><Relationship Id="rId184" Type="http://schemas.openxmlformats.org/officeDocument/2006/relationships/hyperlink" Target="https://drive.google.com/file/d/1AV8I3mcuL7A-Dhibgml3xSId1Unakmay/view?usp=sharing" TargetMode="External"/><Relationship Id="rId189" Type="http://schemas.openxmlformats.org/officeDocument/2006/relationships/vmlDrawing" Target="../drawings/vmlDrawing1.vml"/><Relationship Id="rId3" Type="http://schemas.openxmlformats.org/officeDocument/2006/relationships/hyperlink" Target="https://1drv.ms/u/s!Aj9ew2sN5JZXhUBHdJpvyV2rqM6l?e=xgOYXP" TargetMode="External"/><Relationship Id="rId25" Type="http://schemas.openxmlformats.org/officeDocument/2006/relationships/hyperlink" Target="https://1drv.ms/u/s!Aj9ew2sN5JZXgmxFb69hFm90uONZ" TargetMode="External"/><Relationship Id="rId46" Type="http://schemas.openxmlformats.org/officeDocument/2006/relationships/hyperlink" Target="https://1drv.ms/u/s!Aj9ew2sN5JZXgwS18rrp9h2TyNBj" TargetMode="External"/><Relationship Id="rId67" Type="http://schemas.openxmlformats.org/officeDocument/2006/relationships/hyperlink" Target="https://1drv.ms/u/s!Aj9ew2sN5JZXgmU-na7IzO7_vgN0" TargetMode="External"/><Relationship Id="rId116" Type="http://schemas.openxmlformats.org/officeDocument/2006/relationships/hyperlink" Target="https://1drv.ms/u/s!Aj9ew2sN5JZXhVCiDjn6TujTb7pY?e=37aoGd" TargetMode="External"/><Relationship Id="rId137" Type="http://schemas.openxmlformats.org/officeDocument/2006/relationships/hyperlink" Target="https://1drv.ms/u/s!Aj9ew2sN5JZXjE2Zj4Wa2uCE94T1?e=eMQ7DE" TargetMode="External"/><Relationship Id="rId158" Type="http://schemas.openxmlformats.org/officeDocument/2006/relationships/hyperlink" Target="https://drive.google.com/file/d/1BmA29g-zbLEKrZ2g7uQc3kl0JB6I8FxM/view?usp=sharing" TargetMode="External"/><Relationship Id="rId20" Type="http://schemas.openxmlformats.org/officeDocument/2006/relationships/hyperlink" Target="https://1drv.ms/u/s!Aj9ew2sN5JZXg3NPhXLwFI3Ai2xZ" TargetMode="External"/><Relationship Id="rId41" Type="http://schemas.openxmlformats.org/officeDocument/2006/relationships/hyperlink" Target="https://1drv.ms/u/s!Aj9ew2sN5JZXgn6BoNHcokeChdng" TargetMode="External"/><Relationship Id="rId62" Type="http://schemas.openxmlformats.org/officeDocument/2006/relationships/hyperlink" Target="http://www.getindoor.eu/offers/02/07.JPG" TargetMode="External"/><Relationship Id="rId83" Type="http://schemas.openxmlformats.org/officeDocument/2006/relationships/hyperlink" Target="https://1drv.ms/u/s!AuC_HbuTmWS4ggSXv7x0sxFrv6UW" TargetMode="External"/><Relationship Id="rId88" Type="http://schemas.openxmlformats.org/officeDocument/2006/relationships/hyperlink" Target="https://1drv.ms/u/s!Aj9ew2sN5JZXhXTEymnRKf3P3cQC?e=4xeDHX" TargetMode="External"/><Relationship Id="rId111" Type="http://schemas.openxmlformats.org/officeDocument/2006/relationships/hyperlink" Target="https://1drv.ms/u/s!Aj9ew2sN5JZXjF3tRTtKMbd4fU5G?e=tIOefV" TargetMode="External"/><Relationship Id="rId132" Type="http://schemas.openxmlformats.org/officeDocument/2006/relationships/hyperlink" Target="https://1drv.ms/u/s!Aj9ew2sN5JZXhWWG8sjSUvxg7vBV?e=GIQfgm" TargetMode="External"/><Relationship Id="rId153" Type="http://schemas.openxmlformats.org/officeDocument/2006/relationships/hyperlink" Target="https://drive.google.com/file/d/1iYUFKP4NyjiAkI2Y7qSz76Ni8NiWpCqa/view?usp=sharing" TargetMode="External"/><Relationship Id="rId174" Type="http://schemas.openxmlformats.org/officeDocument/2006/relationships/hyperlink" Target="https://drive.google.com/file/d/1wMiAcqpiQvp_g74Eo64UQ7us3-80JmoG/view?usp=sharing" TargetMode="External"/><Relationship Id="rId179" Type="http://schemas.openxmlformats.org/officeDocument/2006/relationships/hyperlink" Target="https://drive.google.com/file/d/1y0Wj7-CObcaCXtGofkPQMxaxpYdXM9gS/view?usp=sharing" TargetMode="External"/><Relationship Id="rId190" Type="http://schemas.openxmlformats.org/officeDocument/2006/relationships/comments" Target="../comments1.xml"/><Relationship Id="rId15" Type="http://schemas.openxmlformats.org/officeDocument/2006/relationships/hyperlink" Target="https://1drv.ms/u/s!Aj9ew2sN5JZXgmSy__XWOwJUQvkz" TargetMode="External"/><Relationship Id="rId36" Type="http://schemas.openxmlformats.org/officeDocument/2006/relationships/hyperlink" Target="https://1drv.ms/u/s!Aj9ew2sN5JZXhAjB7xEpUHPXLpGS" TargetMode="External"/><Relationship Id="rId57" Type="http://schemas.openxmlformats.org/officeDocument/2006/relationships/hyperlink" Target="https://1drv.ms/u/s!Aj9ew2sN5JZXg3iY8oLXCzqc-HQW" TargetMode="External"/><Relationship Id="rId106" Type="http://schemas.openxmlformats.org/officeDocument/2006/relationships/hyperlink" Target="https://1drv.ms/u/s!Aj9ew2sN5JZXgjY5djERg31AQrp8?e=8itmUH" TargetMode="External"/><Relationship Id="rId127" Type="http://schemas.openxmlformats.org/officeDocument/2006/relationships/hyperlink" Target="https://1drv.ms/u/s!Aj9ew2sN5JZXhgyQTo9lKRkScgQC?e=KCe8TT" TargetMode="External"/><Relationship Id="rId10" Type="http://schemas.openxmlformats.org/officeDocument/2006/relationships/hyperlink" Target="https://1drv.ms/u/s!Aj9ew2sN5JZXhBk94N3VNW6m5D6m" TargetMode="External"/><Relationship Id="rId31" Type="http://schemas.openxmlformats.org/officeDocument/2006/relationships/hyperlink" Target="https://1drv.ms/u/s!Aj9ew2sN5JZXgnO76ZzO3GyCTW_F" TargetMode="External"/><Relationship Id="rId52" Type="http://schemas.openxmlformats.org/officeDocument/2006/relationships/hyperlink" Target="https://1drv.ms/u/s!Aj9ew2sN5JZXhBCNnABub5C_tsNv" TargetMode="External"/><Relationship Id="rId73" Type="http://schemas.openxmlformats.org/officeDocument/2006/relationships/hyperlink" Target="https://1drv.ms/u/s!Aj9ew2sN5JZXhA1v4O5ch8mbxsq9" TargetMode="External"/><Relationship Id="rId78" Type="http://schemas.openxmlformats.org/officeDocument/2006/relationships/hyperlink" Target="https://1drv.ms/u/s!Aj9ew2sN5JZXhByoapVU2acRiNlk" TargetMode="External"/><Relationship Id="rId94" Type="http://schemas.openxmlformats.org/officeDocument/2006/relationships/hyperlink" Target="https://1drv.ms/u/s!Aj9ew2sN5JZXgjMC4F3bA9LUd4C3?e=v1Ap3O" TargetMode="External"/><Relationship Id="rId99" Type="http://schemas.openxmlformats.org/officeDocument/2006/relationships/hyperlink" Target="https://1drv.ms/u/s!Aj9ew2sN5JZXgjkxdIna_-FmMjcb?e=IlItXT" TargetMode="External"/><Relationship Id="rId101" Type="http://schemas.openxmlformats.org/officeDocument/2006/relationships/hyperlink" Target="https://1drv.ms/u/s!Aj9ew2sN5JZXhVSIyK9EKpyfK1cJ?e=LGv41J" TargetMode="External"/><Relationship Id="rId122" Type="http://schemas.openxmlformats.org/officeDocument/2006/relationships/hyperlink" Target="https://1drv.ms/u/s!Aj9ew2sN5JZXhVzLhzQ2BKVSj2v8?e=LKSqRx" TargetMode="External"/><Relationship Id="rId143" Type="http://schemas.openxmlformats.org/officeDocument/2006/relationships/hyperlink" Target="https://drive.google.com/file/d/1R50idoapaixUyP8cgoLnWsjilHWI9gqq/view?usp=sharing" TargetMode="External"/><Relationship Id="rId148" Type="http://schemas.openxmlformats.org/officeDocument/2006/relationships/hyperlink" Target="https://drive.google.com/file/d/1N1ZN-zlQzz8NmfX86GSh4bV5myaXHvvQ/view?usp=sharing" TargetMode="External"/><Relationship Id="rId164" Type="http://schemas.openxmlformats.org/officeDocument/2006/relationships/hyperlink" Target="https://drive.google.com/file/d/1Vz8kqK5PEI7mjCcKU3z3iJXZRsdyvGOQ/view?usp=sharing" TargetMode="External"/><Relationship Id="rId169" Type="http://schemas.openxmlformats.org/officeDocument/2006/relationships/hyperlink" Target="https://drive.google.com/file/d/1Le7hywsfp6qZnKEqGM8n8BGhgiP6ucBz/view?usp=sharing" TargetMode="External"/><Relationship Id="rId185" Type="http://schemas.openxmlformats.org/officeDocument/2006/relationships/hyperlink" Target="https://drive.google.com/file/d/1AV8I3mcuL7A-Dhibgml3xSId1Unakmay/view?usp=sharing" TargetMode="External"/><Relationship Id="rId4" Type="http://schemas.openxmlformats.org/officeDocument/2006/relationships/hyperlink" Target="https://1drv.ms/u/s!Aj9ew2sN5JZXjFo6UmumYLNju67h?e=W0gPrl" TargetMode="External"/><Relationship Id="rId9" Type="http://schemas.openxmlformats.org/officeDocument/2006/relationships/hyperlink" Target="https://1drv.ms/u/s!Aj9ew2sN5JZXhAmsthnhGy2E-FwU" TargetMode="External"/><Relationship Id="rId180" Type="http://schemas.openxmlformats.org/officeDocument/2006/relationships/hyperlink" Target="https://drive.google.com/file/d/1c6QzfRY7bwqcb9mj1bCvqjEkwj_xruZf/view?usp=sharing" TargetMode="External"/><Relationship Id="rId26" Type="http://schemas.openxmlformats.org/officeDocument/2006/relationships/hyperlink" Target="https://1drv.ms/u/s!Aj9ew2sN5JZXg3QWSAiW0dFJJL98" TargetMode="External"/><Relationship Id="rId47" Type="http://schemas.openxmlformats.org/officeDocument/2006/relationships/hyperlink" Target="https://1drv.ms/u/s!Aj9ew2sN5JZXgwU6BDeyIhye2GDi" TargetMode="External"/><Relationship Id="rId68" Type="http://schemas.openxmlformats.org/officeDocument/2006/relationships/hyperlink" Target="https://1drv.ms/u/s!Aj9ew2sN5JZXgmU-na7IzO7_vgN0" TargetMode="External"/><Relationship Id="rId89" Type="http://schemas.openxmlformats.org/officeDocument/2006/relationships/hyperlink" Target="https://1drv.ms/u/s!Aj9ew2sN5JZXhXGfmhIZICym5qNq?e=20Ch6M" TargetMode="External"/><Relationship Id="rId112" Type="http://schemas.openxmlformats.org/officeDocument/2006/relationships/hyperlink" Target="https://1drv.ms/u/s!Aj9ew2sN5JZXhXYdnBRZxZIQIQDC?e=wMQzzB" TargetMode="External"/><Relationship Id="rId133" Type="http://schemas.openxmlformats.org/officeDocument/2006/relationships/hyperlink" Target="https://1drv.ms/u/s!Aj9ew2sN5JZXhWdsiklTjA-fIZHr?e=DhWuRh" TargetMode="External"/><Relationship Id="rId154" Type="http://schemas.openxmlformats.org/officeDocument/2006/relationships/hyperlink" Target="https://drive.google.com/file/d/1WFTE7Uv-p7KtDAu3cNDGP7dtwPPF98c0/view?usp=sharing" TargetMode="External"/><Relationship Id="rId175" Type="http://schemas.openxmlformats.org/officeDocument/2006/relationships/hyperlink" Target="https://drive.google.com/file/d/1R4MuTmEHzHxER7gNTufnfcSA4GVy5ZSa/view?usp=sharing" TargetMode="External"/><Relationship Id="rId16" Type="http://schemas.openxmlformats.org/officeDocument/2006/relationships/hyperlink" Target="https://1drv.ms/u/s!Aj9ew2sN5JZXgmU-na7IzO7_vgN0" TargetMode="External"/><Relationship Id="rId37" Type="http://schemas.openxmlformats.org/officeDocument/2006/relationships/hyperlink" Target="https://1drv.ms/u/s!Aj9ew2sN5JZXgnneUMTbZFqDFm0j" TargetMode="External"/><Relationship Id="rId58" Type="http://schemas.openxmlformats.org/officeDocument/2006/relationships/hyperlink" Target="https://1drv.ms/u/s!Aj9ew2sN5JZXhBrYOvKLkYLUwtA5" TargetMode="External"/><Relationship Id="rId79" Type="http://schemas.openxmlformats.org/officeDocument/2006/relationships/hyperlink" Target="https://1drv.ms/u/s!Aj9ew2sN5JZXhB3aVH3AHrLad-Zm" TargetMode="External"/><Relationship Id="rId102" Type="http://schemas.openxmlformats.org/officeDocument/2006/relationships/hyperlink" Target="https://1drv.ms/u/s!Aj9ew2sN5JZXgjxuqlk4fhQa_Jgt?e=daoeXi" TargetMode="External"/><Relationship Id="rId123" Type="http://schemas.openxmlformats.org/officeDocument/2006/relationships/hyperlink" Target="https://1drv.ms/u/s!Aj9ew2sN5JZXhVJuKnxXGsDuYCU3?e=WauBVu" TargetMode="External"/><Relationship Id="rId144" Type="http://schemas.openxmlformats.org/officeDocument/2006/relationships/hyperlink" Target="https://drive.google.com/file/d/1hXmSMy8xStnnyoZeJClcaHYZC6b4MLDC/view?usp=sharing" TargetMode="External"/><Relationship Id="rId90" Type="http://schemas.openxmlformats.org/officeDocument/2006/relationships/hyperlink" Target="https://1drv.ms/u/s!Aj9ew2sN5JZXhXDf00hAi1Vky8FH?e=yE4QUv" TargetMode="External"/><Relationship Id="rId165" Type="http://schemas.openxmlformats.org/officeDocument/2006/relationships/hyperlink" Target="https://drive.google.com/file/d/1uGldhQL9lk56RMEmuQk5IqVh_NnS-npy/view?usp=sharing" TargetMode="External"/><Relationship Id="rId186" Type="http://schemas.openxmlformats.org/officeDocument/2006/relationships/hyperlink" Target="https://drive.google.com/file/d/15yloy-LsP2tziQl6cWtxxGGtISnUxfQG/view?usp=sharing" TargetMode="External"/><Relationship Id="rId27" Type="http://schemas.openxmlformats.org/officeDocument/2006/relationships/hyperlink" Target="https://1drv.ms/u/s!Aj9ew2sN5JZXgm5I8uXSFiDZ1PTO" TargetMode="External"/><Relationship Id="rId48" Type="http://schemas.openxmlformats.org/officeDocument/2006/relationships/hyperlink" Target="https://1drv.ms/u/s!Aj9ew2sN5JZXgwbcEgMZL_hR5bVO" TargetMode="External"/><Relationship Id="rId69" Type="http://schemas.openxmlformats.org/officeDocument/2006/relationships/hyperlink" Target="https://1drv.ms/u/s!Aj9ew2sN5JZXgmU-na7IzO7_vgN0" TargetMode="External"/><Relationship Id="rId113" Type="http://schemas.openxmlformats.org/officeDocument/2006/relationships/hyperlink" Target="https://1drv.ms/u/s!Aj9ew2sN5JZXhXWQ0SqRVvDzKeQm?e=fvOY5a" TargetMode="External"/><Relationship Id="rId134" Type="http://schemas.openxmlformats.org/officeDocument/2006/relationships/hyperlink" Target="https://1drv.ms/u/s!Aj9ew2sN5JZXhWRCekv3OUZJztWE?e=OuqT4N" TargetMode="External"/><Relationship Id="rId80" Type="http://schemas.openxmlformats.org/officeDocument/2006/relationships/hyperlink" Target="https://1drv.ms/u/s!Aj9ew2sN5JZXhB8CJxXU5bTnvzsU" TargetMode="External"/><Relationship Id="rId155" Type="http://schemas.openxmlformats.org/officeDocument/2006/relationships/hyperlink" Target="https://drive.google.com/file/d/1N5YlFRUhTfjczUqljryX7euSNdSAWXgj/view?usp=sharing" TargetMode="External"/><Relationship Id="rId176" Type="http://schemas.openxmlformats.org/officeDocument/2006/relationships/hyperlink" Target="https://drive.google.com/file/d/1FRS1GJhpyuccxV47z29juYUjqNWCK7nl/view?usp=sharing" TargetMode="External"/><Relationship Id="rId17" Type="http://schemas.openxmlformats.org/officeDocument/2006/relationships/hyperlink" Target="https://1drv.ms/u/s!Aj9ew2sN5JZXg3GvXtfMOVM6T_KW" TargetMode="External"/><Relationship Id="rId38" Type="http://schemas.openxmlformats.org/officeDocument/2006/relationships/hyperlink" Target="https://1drv.ms/u/s!Aj9ew2sN5JZXg3BbV9g5WqEtE1f9" TargetMode="External"/><Relationship Id="rId59" Type="http://schemas.openxmlformats.org/officeDocument/2006/relationships/hyperlink" Target="https://1drv.ms/u/s!Aj9ew2sN5JZXgmjE33W-CLPY79PV" TargetMode="External"/><Relationship Id="rId103" Type="http://schemas.openxmlformats.org/officeDocument/2006/relationships/hyperlink" Target="https://1drv.ms/u/s!Aj9ew2sN5JZXgjxuqlk4fhQa_Jgt?e=daoeXi" TargetMode="External"/><Relationship Id="rId124" Type="http://schemas.openxmlformats.org/officeDocument/2006/relationships/hyperlink" Target="https://1drv.ms/u/s!Aj9ew2sN5JZXinF8Fmr9zcPfPSZc?e=cgDndt" TargetMode="External"/><Relationship Id="rId70" Type="http://schemas.openxmlformats.org/officeDocument/2006/relationships/hyperlink" Target="https://1drv.ms/u/s!Aj9ew2sN5JZXhBLsA0VBs7pBhwcY" TargetMode="External"/><Relationship Id="rId91" Type="http://schemas.openxmlformats.org/officeDocument/2006/relationships/hyperlink" Target="https://1drv.ms/u/s!Aj9ew2sN5JZXhgdkp8-aTDFEyaKi?e=Ggr4f5" TargetMode="External"/><Relationship Id="rId145" Type="http://schemas.openxmlformats.org/officeDocument/2006/relationships/hyperlink" Target="https://drive.google.com/file/d/1_mGcIVk1yRE58ffDFmbvhHA4F_b5oi7s/view?usp=sharing" TargetMode="External"/><Relationship Id="rId166" Type="http://schemas.openxmlformats.org/officeDocument/2006/relationships/hyperlink" Target="https://drive.google.com/file/d/1cRgaoUXXepXpPkjIgHePUcGCueQzE8nt/view?usp=sharing" TargetMode="External"/><Relationship Id="rId187" Type="http://schemas.openxmlformats.org/officeDocument/2006/relationships/printerSettings" Target="../printerSettings/printerSettings1.bin"/><Relationship Id="rId1" Type="http://schemas.openxmlformats.org/officeDocument/2006/relationships/hyperlink" Target="https://1drv.ms/u/s!Aj9ew2sN5JZXhGalW2ayIgNSsvZf?e=B7FsCE" TargetMode="External"/><Relationship Id="rId28" Type="http://schemas.openxmlformats.org/officeDocument/2006/relationships/hyperlink" Target="https://1drv.ms/u/s!Aj9ew2sN5JZXhASZzOA4fe20Gr9a" TargetMode="External"/><Relationship Id="rId49" Type="http://schemas.openxmlformats.org/officeDocument/2006/relationships/hyperlink" Target="https://1drv.ms/u/s!Aj9ew2sN5JZXgweZvcIMviGokGH_" TargetMode="External"/><Relationship Id="rId114" Type="http://schemas.openxmlformats.org/officeDocument/2006/relationships/hyperlink" Target="https://1drv.ms/u/s!Aj9ew2sN5JZXglBzijQvZUHAUpmA?e=NyhWyJ" TargetMode="External"/><Relationship Id="rId60" Type="http://schemas.openxmlformats.org/officeDocument/2006/relationships/hyperlink" Target="https://1drv.ms/u/s!Aj9ew2sN5JZXgmU-na7IzO7_vgN0" TargetMode="External"/><Relationship Id="rId81" Type="http://schemas.openxmlformats.org/officeDocument/2006/relationships/hyperlink" Target="https://1drv.ms/u/s!Aj9ew2sN5JZXhCJFQFKT07VfxAdF" TargetMode="External"/><Relationship Id="rId135" Type="http://schemas.openxmlformats.org/officeDocument/2006/relationships/hyperlink" Target="https://1drv.ms/u/s!Aj9ew2sN5JZXjCOrLaBr3lwj8qYD?e=rLPVNR" TargetMode="External"/><Relationship Id="rId156" Type="http://schemas.openxmlformats.org/officeDocument/2006/relationships/hyperlink" Target="https://drive.google.com/file/d/1ZoxSKFsyWhg2WpT4wJk_GMTHSt_7XBmZ/view?usp=sharing" TargetMode="External"/><Relationship Id="rId177" Type="http://schemas.openxmlformats.org/officeDocument/2006/relationships/hyperlink" Target="https://drive.google.com/file/d/1Vo7ONJld_i02YuQU6rvKhdDWnU5exnbU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75"/>
  <sheetViews>
    <sheetView showGridLines="0" tabSelected="1" zoomScale="70" zoomScaleNormal="70" workbookViewId="0">
      <pane ySplit="7" topLeftCell="A8" activePane="bottomLeft" state="frozen"/>
      <selection pane="bottomLeft" activeCell="B10" sqref="B10"/>
    </sheetView>
  </sheetViews>
  <sheetFormatPr defaultColWidth="9.109375" defaultRowHeight="14.4" x14ac:dyDescent="0.3"/>
  <cols>
    <col min="1" max="1" width="15.44140625" style="4" customWidth="1"/>
    <col min="2" max="2" width="27" style="3" customWidth="1"/>
    <col min="3" max="3" width="20.33203125" style="4" customWidth="1"/>
    <col min="4" max="4" width="21" style="4" customWidth="1"/>
    <col min="5" max="5" width="46.6640625" style="3" customWidth="1"/>
    <col min="6" max="6" width="56.21875" style="3" customWidth="1"/>
    <col min="7" max="7" width="15.109375" style="3" customWidth="1"/>
    <col min="8" max="8" width="8" style="3" customWidth="1"/>
    <col min="9" max="9" width="10.33203125" style="28" customWidth="1"/>
    <col min="10" max="10" width="12.21875" customWidth="1"/>
    <col min="11" max="11" width="11.88671875" customWidth="1"/>
    <col min="12" max="12" width="11.109375" customWidth="1"/>
    <col min="13" max="13" width="16.77734375" style="70" customWidth="1"/>
    <col min="14" max="14" width="21.21875" style="3" customWidth="1"/>
    <col min="15" max="15" width="17.21875" customWidth="1"/>
    <col min="16" max="16" width="11.21875" customWidth="1"/>
    <col min="17" max="17" width="16" customWidth="1"/>
    <col min="18" max="18" width="22" style="30" customWidth="1"/>
    <col min="19" max="19" width="25.109375" style="3" customWidth="1"/>
    <col min="20" max="20" width="20.33203125" style="3" customWidth="1"/>
    <col min="21" max="21" width="18.77734375" style="3" customWidth="1"/>
    <col min="22" max="16384" width="9.109375" style="4"/>
  </cols>
  <sheetData>
    <row r="1" spans="1:21" ht="15" thickBot="1" x14ac:dyDescent="0.35"/>
    <row r="2" spans="1:21" x14ac:dyDescent="0.3">
      <c r="A2" s="8" t="s">
        <v>42</v>
      </c>
      <c r="B2" s="85"/>
      <c r="C2" s="85"/>
      <c r="D2" s="86"/>
    </row>
    <row r="3" spans="1:21" x14ac:dyDescent="0.3">
      <c r="A3" s="9" t="s">
        <v>43</v>
      </c>
      <c r="B3" s="87"/>
      <c r="C3" s="87"/>
      <c r="D3" s="88"/>
    </row>
    <row r="4" spans="1:21" ht="15" thickBot="1" x14ac:dyDescent="0.35">
      <c r="A4" s="10" t="s">
        <v>44</v>
      </c>
      <c r="B4" s="89">
        <v>2022</v>
      </c>
      <c r="C4" s="89"/>
      <c r="D4" s="11">
        <v>1</v>
      </c>
      <c r="F4" s="29"/>
    </row>
    <row r="5" spans="1:21" ht="15" thickBot="1" x14ac:dyDescent="0.35"/>
    <row r="6" spans="1:21" s="34" customFormat="1" ht="31.5" customHeight="1" x14ac:dyDescent="0.3">
      <c r="A6" s="83" t="s">
        <v>45</v>
      </c>
      <c r="B6" s="90" t="s">
        <v>47</v>
      </c>
      <c r="C6" s="12" t="s">
        <v>5</v>
      </c>
      <c r="D6" s="12" t="s">
        <v>6</v>
      </c>
      <c r="E6" s="111" t="s">
        <v>7</v>
      </c>
      <c r="F6" s="105" t="s">
        <v>9</v>
      </c>
      <c r="G6" s="109" t="s">
        <v>48</v>
      </c>
      <c r="H6" s="105" t="s">
        <v>49</v>
      </c>
      <c r="I6" s="107" t="s">
        <v>50</v>
      </c>
      <c r="J6" s="109" t="s">
        <v>38</v>
      </c>
      <c r="K6" s="109" t="s">
        <v>39</v>
      </c>
      <c r="L6" s="109" t="s">
        <v>40</v>
      </c>
      <c r="M6" s="77" t="s">
        <v>51</v>
      </c>
      <c r="N6" s="107" t="s">
        <v>52</v>
      </c>
      <c r="O6" s="107" t="s">
        <v>53</v>
      </c>
      <c r="P6" s="107" t="s">
        <v>41</v>
      </c>
      <c r="Q6" s="107" t="s">
        <v>54</v>
      </c>
      <c r="R6" s="105" t="s">
        <v>55</v>
      </c>
      <c r="S6" s="98" t="s">
        <v>66</v>
      </c>
      <c r="T6" s="99"/>
      <c r="U6" s="100" t="s">
        <v>56</v>
      </c>
    </row>
    <row r="7" spans="1:21" s="6" customFormat="1" ht="31.5" customHeight="1" x14ac:dyDescent="0.35">
      <c r="A7" s="84"/>
      <c r="B7" s="91"/>
      <c r="C7" s="13" t="s">
        <v>8</v>
      </c>
      <c r="D7" s="13" t="s">
        <v>8</v>
      </c>
      <c r="E7" s="112"/>
      <c r="F7" s="106"/>
      <c r="G7" s="110"/>
      <c r="H7" s="106"/>
      <c r="I7" s="108"/>
      <c r="J7" s="110"/>
      <c r="K7" s="110"/>
      <c r="L7" s="110"/>
      <c r="M7" s="78"/>
      <c r="N7" s="108"/>
      <c r="O7" s="108"/>
      <c r="P7" s="108"/>
      <c r="Q7" s="108"/>
      <c r="R7" s="106"/>
      <c r="S7" s="32" t="s">
        <v>57</v>
      </c>
      <c r="T7" s="32" t="s">
        <v>67</v>
      </c>
      <c r="U7" s="101"/>
    </row>
    <row r="8" spans="1:21" s="7" customFormat="1" x14ac:dyDescent="0.3">
      <c r="A8" s="33" t="s">
        <v>46</v>
      </c>
      <c r="B8" s="36" t="s">
        <v>0</v>
      </c>
      <c r="C8" s="5">
        <v>65000</v>
      </c>
      <c r="D8" s="2">
        <f t="shared" ref="D8:D73" si="0">C8*30</f>
        <v>1950000</v>
      </c>
      <c r="E8" s="15" t="s">
        <v>145</v>
      </c>
      <c r="F8" s="35" t="s">
        <v>146</v>
      </c>
      <c r="G8" s="16" t="s">
        <v>161</v>
      </c>
      <c r="H8" s="16">
        <v>10</v>
      </c>
      <c r="I8" s="16">
        <f>H8*4</f>
        <v>40</v>
      </c>
      <c r="J8" s="37">
        <v>44562</v>
      </c>
      <c r="K8" s="37">
        <v>44926</v>
      </c>
      <c r="L8" s="47">
        <f t="shared" ref="L8:L72" si="1">D$4</f>
        <v>1</v>
      </c>
      <c r="M8" s="48"/>
      <c r="N8" s="14"/>
      <c r="O8" s="20">
        <f>L8*M8</f>
        <v>0</v>
      </c>
      <c r="P8" s="39">
        <v>0.2</v>
      </c>
      <c r="Q8" s="20">
        <f>M8-M8*P8</f>
        <v>0</v>
      </c>
      <c r="R8" s="20">
        <f>O8-O8*P8</f>
        <v>0</v>
      </c>
      <c r="S8" s="14">
        <v>702</v>
      </c>
      <c r="T8" s="14">
        <v>416</v>
      </c>
      <c r="U8" s="14">
        <f t="shared" ref="U8:U71" si="2">R8+S8+T8</f>
        <v>1118</v>
      </c>
    </row>
    <row r="9" spans="1:21" s="7" customFormat="1" x14ac:dyDescent="0.3">
      <c r="A9" s="33" t="s">
        <v>46</v>
      </c>
      <c r="B9" s="36" t="s">
        <v>0</v>
      </c>
      <c r="C9" s="5">
        <v>65000</v>
      </c>
      <c r="D9" s="2">
        <f t="shared" si="0"/>
        <v>1950000</v>
      </c>
      <c r="E9" s="15" t="s">
        <v>97</v>
      </c>
      <c r="F9" s="19" t="s">
        <v>98</v>
      </c>
      <c r="G9" s="16" t="s">
        <v>180</v>
      </c>
      <c r="H9" s="16">
        <v>10</v>
      </c>
      <c r="I9" s="16">
        <f>H9*2</f>
        <v>20</v>
      </c>
      <c r="J9" s="37">
        <v>44562</v>
      </c>
      <c r="K9" s="37">
        <v>44926</v>
      </c>
      <c r="L9" s="47">
        <f t="shared" si="1"/>
        <v>1</v>
      </c>
      <c r="M9" s="48"/>
      <c r="N9" s="14"/>
      <c r="O9" s="20">
        <f t="shared" ref="O9:O53" si="3">H9*L9*M9</f>
        <v>0</v>
      </c>
      <c r="P9" s="39">
        <v>0.2</v>
      </c>
      <c r="Q9" s="20">
        <f>M9-M9*P9</f>
        <v>0</v>
      </c>
      <c r="R9" s="20">
        <f>O9-O9*P9</f>
        <v>0</v>
      </c>
      <c r="S9" s="14">
        <f>H9*66.17</f>
        <v>661.7</v>
      </c>
      <c r="T9" s="14">
        <f>H9*20</f>
        <v>200</v>
      </c>
      <c r="U9" s="14">
        <f t="shared" si="2"/>
        <v>861.7</v>
      </c>
    </row>
    <row r="10" spans="1:21" s="7" customFormat="1" ht="28.8" x14ac:dyDescent="0.3">
      <c r="A10" s="33" t="s">
        <v>46</v>
      </c>
      <c r="B10" s="36" t="s">
        <v>0</v>
      </c>
      <c r="C10" s="5">
        <v>65000</v>
      </c>
      <c r="D10" s="2">
        <f t="shared" si="0"/>
        <v>1950000</v>
      </c>
      <c r="E10" s="15" t="s">
        <v>300</v>
      </c>
      <c r="F10" s="38" t="s">
        <v>87</v>
      </c>
      <c r="G10" s="36" t="s">
        <v>301</v>
      </c>
      <c r="H10" s="16">
        <v>1</v>
      </c>
      <c r="I10" s="16">
        <f>H10*4</f>
        <v>4</v>
      </c>
      <c r="J10" s="37">
        <v>44562</v>
      </c>
      <c r="K10" s="37">
        <v>44926</v>
      </c>
      <c r="L10" s="47">
        <f t="shared" si="1"/>
        <v>1</v>
      </c>
      <c r="M10" s="48"/>
      <c r="N10" s="48"/>
      <c r="O10" s="20">
        <f t="shared" si="3"/>
        <v>0</v>
      </c>
      <c r="P10" s="39">
        <v>0.2</v>
      </c>
      <c r="Q10" s="20">
        <f t="shared" ref="Q10" si="4">M10-M10*P10</f>
        <v>0</v>
      </c>
      <c r="R10" s="20">
        <f>O10-O10*P10</f>
        <v>0</v>
      </c>
      <c r="S10" s="14">
        <f>H10*100</f>
        <v>100</v>
      </c>
      <c r="T10" s="14">
        <f>H10*600</f>
        <v>600</v>
      </c>
      <c r="U10" s="14">
        <f t="shared" si="2"/>
        <v>700</v>
      </c>
    </row>
    <row r="11" spans="1:21" s="7" customFormat="1" x14ac:dyDescent="0.3">
      <c r="A11" s="33" t="s">
        <v>46</v>
      </c>
      <c r="B11" s="36" t="s">
        <v>0</v>
      </c>
      <c r="C11" s="5">
        <v>65000</v>
      </c>
      <c r="D11" s="2">
        <f t="shared" si="0"/>
        <v>1950000</v>
      </c>
      <c r="E11" s="15" t="s">
        <v>99</v>
      </c>
      <c r="F11" s="19" t="s">
        <v>110</v>
      </c>
      <c r="G11" s="16" t="s">
        <v>162</v>
      </c>
      <c r="H11" s="16">
        <v>1</v>
      </c>
      <c r="I11" s="16">
        <f>H11*20</f>
        <v>20</v>
      </c>
      <c r="J11" s="37">
        <v>44562</v>
      </c>
      <c r="K11" s="37">
        <v>44926</v>
      </c>
      <c r="L11" s="47">
        <f t="shared" si="1"/>
        <v>1</v>
      </c>
      <c r="M11" s="48"/>
      <c r="N11" s="14"/>
      <c r="O11" s="20">
        <f t="shared" si="3"/>
        <v>0</v>
      </c>
      <c r="P11" s="39">
        <v>0.2</v>
      </c>
      <c r="Q11" s="20">
        <f>M11-M11*P11</f>
        <v>0</v>
      </c>
      <c r="R11" s="20">
        <f>O11-O11*P11</f>
        <v>0</v>
      </c>
      <c r="S11" s="14">
        <v>0</v>
      </c>
      <c r="T11" s="14">
        <v>0</v>
      </c>
      <c r="U11" s="14">
        <f t="shared" si="2"/>
        <v>0</v>
      </c>
    </row>
    <row r="12" spans="1:21" s="7" customFormat="1" x14ac:dyDescent="0.3">
      <c r="A12" s="33" t="s">
        <v>46</v>
      </c>
      <c r="B12" s="36" t="s">
        <v>0</v>
      </c>
      <c r="C12" s="5">
        <v>65000</v>
      </c>
      <c r="D12" s="2">
        <f t="shared" si="0"/>
        <v>1950000</v>
      </c>
      <c r="E12" s="15" t="s">
        <v>28</v>
      </c>
      <c r="F12" s="19" t="s">
        <v>16</v>
      </c>
      <c r="G12" s="16">
        <v>70</v>
      </c>
      <c r="H12" s="16">
        <v>1</v>
      </c>
      <c r="I12" s="16">
        <f>H12*8</f>
        <v>8</v>
      </c>
      <c r="J12" s="37">
        <v>44562</v>
      </c>
      <c r="K12" s="37">
        <v>44926</v>
      </c>
      <c r="L12" s="47">
        <f t="shared" si="1"/>
        <v>1</v>
      </c>
      <c r="M12" s="48"/>
      <c r="N12" s="14"/>
      <c r="O12" s="20">
        <f t="shared" si="3"/>
        <v>0</v>
      </c>
      <c r="P12" s="39">
        <v>0.2</v>
      </c>
      <c r="Q12" s="20">
        <f t="shared" ref="Q12:Q59" si="5">M12-M12*P12</f>
        <v>0</v>
      </c>
      <c r="R12" s="20">
        <f t="shared" ref="R12:R59" si="6">O12-O12*P12</f>
        <v>0</v>
      </c>
      <c r="S12" s="14">
        <f t="shared" ref="S12:S19" si="7">G12*13.5</f>
        <v>945</v>
      </c>
      <c r="T12" s="14">
        <f t="shared" ref="T12:T19" si="8">G12*8</f>
        <v>560</v>
      </c>
      <c r="U12" s="14">
        <f t="shared" si="2"/>
        <v>1505</v>
      </c>
    </row>
    <row r="13" spans="1:21" s="7" customFormat="1" x14ac:dyDescent="0.3">
      <c r="A13" s="33" t="s">
        <v>46</v>
      </c>
      <c r="B13" s="36" t="s">
        <v>0</v>
      </c>
      <c r="C13" s="5">
        <v>65000</v>
      </c>
      <c r="D13" s="2">
        <f t="shared" si="0"/>
        <v>1950000</v>
      </c>
      <c r="E13" s="15" t="s">
        <v>29</v>
      </c>
      <c r="F13" s="19" t="s">
        <v>10</v>
      </c>
      <c r="G13" s="16">
        <v>60</v>
      </c>
      <c r="H13" s="16">
        <v>1</v>
      </c>
      <c r="I13" s="16">
        <f>H13*8</f>
        <v>8</v>
      </c>
      <c r="J13" s="37">
        <v>44562</v>
      </c>
      <c r="K13" s="37">
        <v>44926</v>
      </c>
      <c r="L13" s="47">
        <f t="shared" si="1"/>
        <v>1</v>
      </c>
      <c r="M13" s="48"/>
      <c r="N13" s="14"/>
      <c r="O13" s="20">
        <f t="shared" si="3"/>
        <v>0</v>
      </c>
      <c r="P13" s="39">
        <v>0.2</v>
      </c>
      <c r="Q13" s="20">
        <f t="shared" si="5"/>
        <v>0</v>
      </c>
      <c r="R13" s="20">
        <f t="shared" si="6"/>
        <v>0</v>
      </c>
      <c r="S13" s="14">
        <f t="shared" si="7"/>
        <v>810</v>
      </c>
      <c r="T13" s="14">
        <f t="shared" si="8"/>
        <v>480</v>
      </c>
      <c r="U13" s="14">
        <f t="shared" si="2"/>
        <v>1290</v>
      </c>
    </row>
    <row r="14" spans="1:21" s="7" customFormat="1" x14ac:dyDescent="0.3">
      <c r="A14" s="33" t="s">
        <v>46</v>
      </c>
      <c r="B14" s="36" t="s">
        <v>0</v>
      </c>
      <c r="C14" s="5">
        <v>65000</v>
      </c>
      <c r="D14" s="2">
        <f t="shared" si="0"/>
        <v>1950000</v>
      </c>
      <c r="E14" s="15" t="s">
        <v>30</v>
      </c>
      <c r="F14" s="19" t="s">
        <v>11</v>
      </c>
      <c r="G14" s="16">
        <v>90</v>
      </c>
      <c r="H14" s="16">
        <v>1</v>
      </c>
      <c r="I14" s="16">
        <f>H14*16</f>
        <v>16</v>
      </c>
      <c r="J14" s="37">
        <v>44562</v>
      </c>
      <c r="K14" s="37">
        <v>44926</v>
      </c>
      <c r="L14" s="47">
        <f t="shared" si="1"/>
        <v>1</v>
      </c>
      <c r="M14" s="48"/>
      <c r="N14" s="14"/>
      <c r="O14" s="20">
        <f t="shared" si="3"/>
        <v>0</v>
      </c>
      <c r="P14" s="39">
        <v>0.2</v>
      </c>
      <c r="Q14" s="20">
        <f t="shared" si="5"/>
        <v>0</v>
      </c>
      <c r="R14" s="20">
        <f t="shared" si="6"/>
        <v>0</v>
      </c>
      <c r="S14" s="14">
        <f t="shared" si="7"/>
        <v>1215</v>
      </c>
      <c r="T14" s="14">
        <f t="shared" si="8"/>
        <v>720</v>
      </c>
      <c r="U14" s="14">
        <f t="shared" si="2"/>
        <v>1935</v>
      </c>
    </row>
    <row r="15" spans="1:21" s="7" customFormat="1" x14ac:dyDescent="0.3">
      <c r="A15" s="33" t="s">
        <v>46</v>
      </c>
      <c r="B15" s="36" t="s">
        <v>0</v>
      </c>
      <c r="C15" s="5">
        <v>65000</v>
      </c>
      <c r="D15" s="2">
        <f t="shared" si="0"/>
        <v>1950000</v>
      </c>
      <c r="E15" s="15" t="s">
        <v>31</v>
      </c>
      <c r="F15" s="19" t="s">
        <v>33</v>
      </c>
      <c r="G15" s="16">
        <v>20</v>
      </c>
      <c r="H15" s="16">
        <v>1</v>
      </c>
      <c r="I15" s="16">
        <f>H15*4</f>
        <v>4</v>
      </c>
      <c r="J15" s="37">
        <v>44562</v>
      </c>
      <c r="K15" s="37">
        <v>44926</v>
      </c>
      <c r="L15" s="47">
        <f t="shared" si="1"/>
        <v>1</v>
      </c>
      <c r="M15" s="48"/>
      <c r="N15" s="14"/>
      <c r="O15" s="20">
        <f t="shared" si="3"/>
        <v>0</v>
      </c>
      <c r="P15" s="39">
        <v>0.2</v>
      </c>
      <c r="Q15" s="20">
        <f t="shared" si="5"/>
        <v>0</v>
      </c>
      <c r="R15" s="20">
        <f t="shared" si="6"/>
        <v>0</v>
      </c>
      <c r="S15" s="14">
        <f t="shared" si="7"/>
        <v>270</v>
      </c>
      <c r="T15" s="14">
        <f t="shared" si="8"/>
        <v>160</v>
      </c>
      <c r="U15" s="14">
        <f t="shared" si="2"/>
        <v>430</v>
      </c>
    </row>
    <row r="16" spans="1:21" s="7" customFormat="1" x14ac:dyDescent="0.3">
      <c r="A16" s="33" t="s">
        <v>46</v>
      </c>
      <c r="B16" s="36" t="s">
        <v>0</v>
      </c>
      <c r="C16" s="5">
        <v>65000</v>
      </c>
      <c r="D16" s="2">
        <f t="shared" si="0"/>
        <v>1950000</v>
      </c>
      <c r="E16" s="38" t="s">
        <v>71</v>
      </c>
      <c r="F16" s="19" t="s">
        <v>17</v>
      </c>
      <c r="G16" s="16">
        <v>54</v>
      </c>
      <c r="H16" s="16">
        <v>1</v>
      </c>
      <c r="I16" s="16">
        <f>H16*4</f>
        <v>4</v>
      </c>
      <c r="J16" s="37">
        <v>44562</v>
      </c>
      <c r="K16" s="37">
        <v>44926</v>
      </c>
      <c r="L16" s="47">
        <f t="shared" si="1"/>
        <v>1</v>
      </c>
      <c r="M16" s="48"/>
      <c r="N16" s="14"/>
      <c r="O16" s="20">
        <f t="shared" si="3"/>
        <v>0</v>
      </c>
      <c r="P16" s="39">
        <v>0.2</v>
      </c>
      <c r="Q16" s="20">
        <f t="shared" si="5"/>
        <v>0</v>
      </c>
      <c r="R16" s="20">
        <f t="shared" si="6"/>
        <v>0</v>
      </c>
      <c r="S16" s="14">
        <f t="shared" si="7"/>
        <v>729</v>
      </c>
      <c r="T16" s="14">
        <f t="shared" si="8"/>
        <v>432</v>
      </c>
      <c r="U16" s="14">
        <f t="shared" si="2"/>
        <v>1161</v>
      </c>
    </row>
    <row r="17" spans="1:21" s="7" customFormat="1" x14ac:dyDescent="0.3">
      <c r="A17" s="33" t="s">
        <v>46</v>
      </c>
      <c r="B17" s="36" t="s">
        <v>0</v>
      </c>
      <c r="C17" s="5">
        <v>65000</v>
      </c>
      <c r="D17" s="2">
        <f t="shared" si="0"/>
        <v>1950000</v>
      </c>
      <c r="E17" s="38" t="s">
        <v>72</v>
      </c>
      <c r="F17" s="19" t="s">
        <v>18</v>
      </c>
      <c r="G17" s="16">
        <v>54</v>
      </c>
      <c r="H17" s="16">
        <v>1</v>
      </c>
      <c r="I17" s="16">
        <f>H17*4</f>
        <v>4</v>
      </c>
      <c r="J17" s="37">
        <v>44562</v>
      </c>
      <c r="K17" s="37">
        <v>44926</v>
      </c>
      <c r="L17" s="47">
        <f t="shared" si="1"/>
        <v>1</v>
      </c>
      <c r="M17" s="48"/>
      <c r="N17" s="14"/>
      <c r="O17" s="20">
        <f t="shared" si="3"/>
        <v>0</v>
      </c>
      <c r="P17" s="39">
        <v>0.2</v>
      </c>
      <c r="Q17" s="20">
        <f t="shared" si="5"/>
        <v>0</v>
      </c>
      <c r="R17" s="20">
        <f t="shared" si="6"/>
        <v>0</v>
      </c>
      <c r="S17" s="14">
        <f t="shared" si="7"/>
        <v>729</v>
      </c>
      <c r="T17" s="14">
        <f t="shared" si="8"/>
        <v>432</v>
      </c>
      <c r="U17" s="14">
        <f t="shared" si="2"/>
        <v>1161</v>
      </c>
    </row>
    <row r="18" spans="1:21" s="7" customFormat="1" x14ac:dyDescent="0.3">
      <c r="A18" s="33" t="s">
        <v>46</v>
      </c>
      <c r="B18" s="36" t="s">
        <v>0</v>
      </c>
      <c r="C18" s="5">
        <v>65000</v>
      </c>
      <c r="D18" s="2">
        <f t="shared" si="0"/>
        <v>1950000</v>
      </c>
      <c r="E18" s="38" t="s">
        <v>88</v>
      </c>
      <c r="F18" s="19" t="s">
        <v>89</v>
      </c>
      <c r="G18" s="16">
        <v>54</v>
      </c>
      <c r="H18" s="16">
        <v>1</v>
      </c>
      <c r="I18" s="16">
        <f>H18*4</f>
        <v>4</v>
      </c>
      <c r="J18" s="37">
        <v>44562</v>
      </c>
      <c r="K18" s="37">
        <v>44926</v>
      </c>
      <c r="L18" s="47">
        <f t="shared" si="1"/>
        <v>1</v>
      </c>
      <c r="M18" s="48"/>
      <c r="N18" s="14"/>
      <c r="O18" s="20">
        <f t="shared" si="3"/>
        <v>0</v>
      </c>
      <c r="P18" s="39">
        <v>0.2</v>
      </c>
      <c r="Q18" s="20">
        <f t="shared" si="5"/>
        <v>0</v>
      </c>
      <c r="R18" s="20">
        <f t="shared" si="6"/>
        <v>0</v>
      </c>
      <c r="S18" s="14">
        <f t="shared" si="7"/>
        <v>729</v>
      </c>
      <c r="T18" s="14">
        <f t="shared" si="8"/>
        <v>432</v>
      </c>
      <c r="U18" s="14">
        <f t="shared" si="2"/>
        <v>1161</v>
      </c>
    </row>
    <row r="19" spans="1:21" s="7" customFormat="1" x14ac:dyDescent="0.3">
      <c r="A19" s="33" t="s">
        <v>46</v>
      </c>
      <c r="B19" s="36" t="s">
        <v>0</v>
      </c>
      <c r="C19" s="5">
        <v>65000</v>
      </c>
      <c r="D19" s="2">
        <f t="shared" si="0"/>
        <v>1950000</v>
      </c>
      <c r="E19" s="38" t="s">
        <v>75</v>
      </c>
      <c r="F19" s="19" t="s">
        <v>76</v>
      </c>
      <c r="G19" s="16">
        <v>54</v>
      </c>
      <c r="H19" s="16">
        <v>1</v>
      </c>
      <c r="I19" s="16">
        <f>H19*4</f>
        <v>4</v>
      </c>
      <c r="J19" s="37">
        <v>44562</v>
      </c>
      <c r="K19" s="37">
        <v>44926</v>
      </c>
      <c r="L19" s="47">
        <f t="shared" si="1"/>
        <v>1</v>
      </c>
      <c r="M19" s="48"/>
      <c r="N19" s="14"/>
      <c r="O19" s="20">
        <f t="shared" si="3"/>
        <v>0</v>
      </c>
      <c r="P19" s="39">
        <v>0.2</v>
      </c>
      <c r="Q19" s="20">
        <f t="shared" si="5"/>
        <v>0</v>
      </c>
      <c r="R19" s="20">
        <f t="shared" si="6"/>
        <v>0</v>
      </c>
      <c r="S19" s="14">
        <f t="shared" si="7"/>
        <v>729</v>
      </c>
      <c r="T19" s="14">
        <f t="shared" si="8"/>
        <v>432</v>
      </c>
      <c r="U19" s="14">
        <f t="shared" si="2"/>
        <v>1161</v>
      </c>
    </row>
    <row r="20" spans="1:21" s="7" customFormat="1" x14ac:dyDescent="0.3">
      <c r="A20" s="33" t="s">
        <v>46</v>
      </c>
      <c r="B20" s="36" t="s">
        <v>0</v>
      </c>
      <c r="C20" s="5">
        <v>65000</v>
      </c>
      <c r="D20" s="2">
        <f t="shared" si="0"/>
        <v>1950000</v>
      </c>
      <c r="E20" s="38" t="s">
        <v>102</v>
      </c>
      <c r="F20" s="19" t="s">
        <v>19</v>
      </c>
      <c r="G20" s="16">
        <v>30</v>
      </c>
      <c r="H20" s="16">
        <v>1</v>
      </c>
      <c r="I20" s="16">
        <f>H20</f>
        <v>1</v>
      </c>
      <c r="J20" s="37">
        <v>44562</v>
      </c>
      <c r="K20" s="37">
        <v>44926</v>
      </c>
      <c r="L20" s="47">
        <f t="shared" si="1"/>
        <v>1</v>
      </c>
      <c r="M20" s="48"/>
      <c r="N20" s="14"/>
      <c r="O20" s="20">
        <f t="shared" si="3"/>
        <v>0</v>
      </c>
      <c r="P20" s="39">
        <v>0.2</v>
      </c>
      <c r="Q20" s="20">
        <f>M20-M20*P20</f>
        <v>0</v>
      </c>
      <c r="R20" s="20">
        <f>O20-O20*P20</f>
        <v>0</v>
      </c>
      <c r="S20" s="14">
        <f>G20*30</f>
        <v>900</v>
      </c>
      <c r="T20" s="14">
        <f>G20*20</f>
        <v>600</v>
      </c>
      <c r="U20" s="14">
        <f t="shared" si="2"/>
        <v>1500</v>
      </c>
    </row>
    <row r="21" spans="1:21" s="7" customFormat="1" x14ac:dyDescent="0.3">
      <c r="A21" s="33" t="s">
        <v>46</v>
      </c>
      <c r="B21" s="36" t="s">
        <v>0</v>
      </c>
      <c r="C21" s="5">
        <v>65000</v>
      </c>
      <c r="D21" s="2">
        <f t="shared" si="0"/>
        <v>1950000</v>
      </c>
      <c r="E21" s="38" t="s">
        <v>102</v>
      </c>
      <c r="F21" s="19" t="s">
        <v>96</v>
      </c>
      <c r="G21" s="16">
        <v>20</v>
      </c>
      <c r="H21" s="16">
        <v>4</v>
      </c>
      <c r="I21" s="16">
        <f>H21</f>
        <v>4</v>
      </c>
      <c r="J21" s="37">
        <v>44562</v>
      </c>
      <c r="K21" s="37">
        <v>44926</v>
      </c>
      <c r="L21" s="47">
        <f t="shared" si="1"/>
        <v>1</v>
      </c>
      <c r="M21" s="48"/>
      <c r="N21" s="14"/>
      <c r="O21" s="20">
        <f t="shared" si="3"/>
        <v>0</v>
      </c>
      <c r="P21" s="39">
        <v>0.2</v>
      </c>
      <c r="Q21" s="20">
        <f>M21-M21*P21</f>
        <v>0</v>
      </c>
      <c r="R21" s="20">
        <f>O21-O21*P21</f>
        <v>0</v>
      </c>
      <c r="S21" s="14">
        <f>G21*30</f>
        <v>600</v>
      </c>
      <c r="T21" s="14">
        <f>G21*20</f>
        <v>400</v>
      </c>
      <c r="U21" s="14">
        <f t="shared" si="2"/>
        <v>1000</v>
      </c>
    </row>
    <row r="22" spans="1:21" s="7" customFormat="1" x14ac:dyDescent="0.3">
      <c r="A22" s="33" t="s">
        <v>46</v>
      </c>
      <c r="B22" s="36" t="s">
        <v>0</v>
      </c>
      <c r="C22" s="5">
        <v>65000</v>
      </c>
      <c r="D22" s="2">
        <f t="shared" si="0"/>
        <v>1950000</v>
      </c>
      <c r="E22" s="38" t="s">
        <v>103</v>
      </c>
      <c r="F22" s="19" t="s">
        <v>19</v>
      </c>
      <c r="G22" s="16">
        <v>20</v>
      </c>
      <c r="H22" s="16">
        <v>2</v>
      </c>
      <c r="I22" s="16">
        <v>2</v>
      </c>
      <c r="J22" s="37">
        <v>44562</v>
      </c>
      <c r="K22" s="37">
        <v>44926</v>
      </c>
      <c r="L22" s="47">
        <f t="shared" si="1"/>
        <v>1</v>
      </c>
      <c r="M22" s="48"/>
      <c r="N22" s="14"/>
      <c r="O22" s="20">
        <f t="shared" si="3"/>
        <v>0</v>
      </c>
      <c r="P22" s="39">
        <v>0.2</v>
      </c>
      <c r="Q22" s="20">
        <f>M22-M22*P22</f>
        <v>0</v>
      </c>
      <c r="R22" s="20">
        <f>O22-O22*P22</f>
        <v>0</v>
      </c>
      <c r="S22" s="14">
        <f>G22*H22*13.5</f>
        <v>540</v>
      </c>
      <c r="T22" s="14">
        <f>G22*H22*8</f>
        <v>320</v>
      </c>
      <c r="U22" s="14">
        <f t="shared" si="2"/>
        <v>860</v>
      </c>
    </row>
    <row r="23" spans="1:21" s="7" customFormat="1" x14ac:dyDescent="0.3">
      <c r="A23" s="33" t="s">
        <v>46</v>
      </c>
      <c r="B23" s="36" t="s">
        <v>0</v>
      </c>
      <c r="C23" s="5">
        <v>65000</v>
      </c>
      <c r="D23" s="2">
        <f t="shared" si="0"/>
        <v>1950000</v>
      </c>
      <c r="E23" s="38" t="s">
        <v>103</v>
      </c>
      <c r="F23" s="19" t="s">
        <v>104</v>
      </c>
      <c r="G23" s="16">
        <v>20</v>
      </c>
      <c r="H23" s="16">
        <v>2</v>
      </c>
      <c r="I23" s="16">
        <v>2</v>
      </c>
      <c r="J23" s="37">
        <v>44562</v>
      </c>
      <c r="K23" s="37">
        <v>44926</v>
      </c>
      <c r="L23" s="47">
        <f t="shared" si="1"/>
        <v>1</v>
      </c>
      <c r="M23" s="48"/>
      <c r="N23" s="14"/>
      <c r="O23" s="20">
        <f t="shared" si="3"/>
        <v>0</v>
      </c>
      <c r="P23" s="39">
        <v>0.2</v>
      </c>
      <c r="Q23" s="20">
        <f>M23-M23*P23</f>
        <v>0</v>
      </c>
      <c r="R23" s="20">
        <f>O23-O23*P23</f>
        <v>0</v>
      </c>
      <c r="S23" s="14">
        <f>G23*H23*13.5</f>
        <v>540</v>
      </c>
      <c r="T23" s="14">
        <f>G23*H23*8</f>
        <v>320</v>
      </c>
      <c r="U23" s="14">
        <f t="shared" si="2"/>
        <v>860</v>
      </c>
    </row>
    <row r="24" spans="1:21" s="7" customFormat="1" x14ac:dyDescent="0.3">
      <c r="A24" s="33" t="s">
        <v>46</v>
      </c>
      <c r="B24" s="36" t="s">
        <v>0</v>
      </c>
      <c r="C24" s="5">
        <v>65000</v>
      </c>
      <c r="D24" s="2">
        <f t="shared" si="0"/>
        <v>1950000</v>
      </c>
      <c r="E24" s="38" t="s">
        <v>134</v>
      </c>
      <c r="F24" s="19" t="s">
        <v>135</v>
      </c>
      <c r="G24" s="16" t="s">
        <v>163</v>
      </c>
      <c r="H24" s="16">
        <v>1</v>
      </c>
      <c r="I24" s="16">
        <v>1</v>
      </c>
      <c r="J24" s="37">
        <v>44562</v>
      </c>
      <c r="K24" s="37">
        <v>44926</v>
      </c>
      <c r="L24" s="47">
        <f t="shared" si="1"/>
        <v>1</v>
      </c>
      <c r="M24" s="48"/>
      <c r="N24" s="20"/>
      <c r="O24" s="20">
        <f t="shared" si="3"/>
        <v>0</v>
      </c>
      <c r="P24" s="39">
        <v>0.2</v>
      </c>
      <c r="Q24" s="20">
        <f>M24-M24*P24</f>
        <v>0</v>
      </c>
      <c r="R24" s="20">
        <f>O24-O24*P24</f>
        <v>0</v>
      </c>
      <c r="S24" s="14">
        <v>176</v>
      </c>
      <c r="T24" s="14">
        <v>104</v>
      </c>
      <c r="U24" s="14">
        <f t="shared" si="2"/>
        <v>280</v>
      </c>
    </row>
    <row r="25" spans="1:21" s="7" customFormat="1" x14ac:dyDescent="0.3">
      <c r="A25" s="33" t="s">
        <v>46</v>
      </c>
      <c r="B25" s="36" t="s">
        <v>0</v>
      </c>
      <c r="C25" s="5">
        <v>65000</v>
      </c>
      <c r="D25" s="2">
        <f t="shared" si="0"/>
        <v>1950000</v>
      </c>
      <c r="E25" s="38" t="s">
        <v>32</v>
      </c>
      <c r="F25" s="19" t="s">
        <v>143</v>
      </c>
      <c r="G25" s="16">
        <v>65</v>
      </c>
      <c r="H25" s="16">
        <v>1</v>
      </c>
      <c r="I25" s="16">
        <f>H25*2</f>
        <v>2</v>
      </c>
      <c r="J25" s="37">
        <v>44562</v>
      </c>
      <c r="K25" s="37">
        <v>44926</v>
      </c>
      <c r="L25" s="47">
        <f t="shared" si="1"/>
        <v>1</v>
      </c>
      <c r="M25" s="48"/>
      <c r="N25" s="14"/>
      <c r="O25" s="20">
        <f t="shared" si="3"/>
        <v>0</v>
      </c>
      <c r="P25" s="39">
        <v>0.2</v>
      </c>
      <c r="Q25" s="20">
        <f t="shared" si="5"/>
        <v>0</v>
      </c>
      <c r="R25" s="20">
        <f t="shared" si="6"/>
        <v>0</v>
      </c>
      <c r="S25" s="14">
        <f>G25*13.5</f>
        <v>877.5</v>
      </c>
      <c r="T25" s="14">
        <f>G25*8</f>
        <v>520</v>
      </c>
      <c r="U25" s="14">
        <f t="shared" si="2"/>
        <v>1397.5</v>
      </c>
    </row>
    <row r="26" spans="1:21" s="7" customFormat="1" x14ac:dyDescent="0.3">
      <c r="A26" s="33" t="s">
        <v>46</v>
      </c>
      <c r="B26" s="36" t="s">
        <v>0</v>
      </c>
      <c r="C26" s="5">
        <v>65000</v>
      </c>
      <c r="D26" s="2">
        <f t="shared" si="0"/>
        <v>1950000</v>
      </c>
      <c r="E26" s="38" t="s">
        <v>147</v>
      </c>
      <c r="F26" s="47" t="s">
        <v>148</v>
      </c>
      <c r="G26" s="16">
        <v>60</v>
      </c>
      <c r="H26" s="16">
        <v>1</v>
      </c>
      <c r="I26" s="16">
        <v>2</v>
      </c>
      <c r="J26" s="37">
        <v>44562</v>
      </c>
      <c r="K26" s="37">
        <v>44926</v>
      </c>
      <c r="L26" s="47">
        <f t="shared" si="1"/>
        <v>1</v>
      </c>
      <c r="M26" s="48"/>
      <c r="N26" s="14"/>
      <c r="O26" s="20">
        <f t="shared" si="3"/>
        <v>0</v>
      </c>
      <c r="P26" s="39">
        <v>0.2</v>
      </c>
      <c r="Q26" s="20">
        <f t="shared" si="5"/>
        <v>0</v>
      </c>
      <c r="R26" s="20">
        <f t="shared" si="6"/>
        <v>0</v>
      </c>
      <c r="S26" s="14">
        <f>904.5</f>
        <v>904.5</v>
      </c>
      <c r="T26" s="14">
        <v>536</v>
      </c>
      <c r="U26" s="14">
        <f t="shared" si="2"/>
        <v>1440.5</v>
      </c>
    </row>
    <row r="27" spans="1:21" s="7" customFormat="1" x14ac:dyDescent="0.3">
      <c r="A27" s="33" t="s">
        <v>46</v>
      </c>
      <c r="B27" s="36" t="s">
        <v>0</v>
      </c>
      <c r="C27" s="5">
        <v>65000</v>
      </c>
      <c r="D27" s="2">
        <f t="shared" si="0"/>
        <v>1950000</v>
      </c>
      <c r="E27" s="38" t="s">
        <v>164</v>
      </c>
      <c r="F27" s="47" t="s">
        <v>179</v>
      </c>
      <c r="G27" s="16">
        <v>242</v>
      </c>
      <c r="H27" s="16">
        <v>1</v>
      </c>
      <c r="I27" s="16">
        <f>H27*2</f>
        <v>2</v>
      </c>
      <c r="J27" s="37">
        <v>44562</v>
      </c>
      <c r="K27" s="37">
        <v>44926</v>
      </c>
      <c r="L27" s="47">
        <f t="shared" si="1"/>
        <v>1</v>
      </c>
      <c r="M27" s="48"/>
      <c r="N27" s="14"/>
      <c r="O27" s="20">
        <f t="shared" si="3"/>
        <v>0</v>
      </c>
      <c r="P27" s="39">
        <v>0.2</v>
      </c>
      <c r="Q27" s="20">
        <f t="shared" si="5"/>
        <v>0</v>
      </c>
      <c r="R27" s="20">
        <f t="shared" si="6"/>
        <v>0</v>
      </c>
      <c r="S27" s="14">
        <f>G27*13.5</f>
        <v>3267</v>
      </c>
      <c r="T27" s="14">
        <f>G27*8+600</f>
        <v>2536</v>
      </c>
      <c r="U27" s="14">
        <f t="shared" si="2"/>
        <v>5803</v>
      </c>
    </row>
    <row r="28" spans="1:21" s="7" customFormat="1" x14ac:dyDescent="0.3">
      <c r="A28" s="33" t="s">
        <v>46</v>
      </c>
      <c r="B28" s="36" t="s">
        <v>0</v>
      </c>
      <c r="C28" s="5">
        <v>65000</v>
      </c>
      <c r="D28" s="2">
        <f t="shared" si="0"/>
        <v>1950000</v>
      </c>
      <c r="E28" s="38" t="s">
        <v>149</v>
      </c>
      <c r="F28" s="19" t="s">
        <v>149</v>
      </c>
      <c r="G28" s="16">
        <v>29</v>
      </c>
      <c r="H28" s="16">
        <v>2</v>
      </c>
      <c r="I28" s="16">
        <v>2</v>
      </c>
      <c r="J28" s="37">
        <v>44562</v>
      </c>
      <c r="K28" s="37">
        <v>44926</v>
      </c>
      <c r="L28" s="47">
        <f t="shared" si="1"/>
        <v>1</v>
      </c>
      <c r="M28" s="48"/>
      <c r="N28" s="14"/>
      <c r="O28" s="20">
        <f t="shared" si="3"/>
        <v>0</v>
      </c>
      <c r="P28" s="39">
        <v>0.2</v>
      </c>
      <c r="Q28" s="20">
        <f t="shared" si="5"/>
        <v>0</v>
      </c>
      <c r="R28" s="20">
        <f t="shared" si="6"/>
        <v>0</v>
      </c>
      <c r="S28" s="14">
        <f>G28*13.5</f>
        <v>391.5</v>
      </c>
      <c r="T28" s="14">
        <f>G28*8</f>
        <v>232</v>
      </c>
      <c r="U28" s="14">
        <f t="shared" si="2"/>
        <v>623.5</v>
      </c>
    </row>
    <row r="29" spans="1:21" s="7" customFormat="1" x14ac:dyDescent="0.3">
      <c r="A29" s="33" t="s">
        <v>46</v>
      </c>
      <c r="B29" s="36" t="s">
        <v>0</v>
      </c>
      <c r="C29" s="5">
        <v>65000</v>
      </c>
      <c r="D29" s="2">
        <f t="shared" si="0"/>
        <v>1950000</v>
      </c>
      <c r="E29" s="38" t="s">
        <v>150</v>
      </c>
      <c r="F29" s="47" t="s">
        <v>150</v>
      </c>
      <c r="G29" s="16">
        <v>45</v>
      </c>
      <c r="H29" s="16">
        <v>2</v>
      </c>
      <c r="I29" s="16">
        <v>4</v>
      </c>
      <c r="J29" s="37">
        <v>44562</v>
      </c>
      <c r="K29" s="37">
        <v>44926</v>
      </c>
      <c r="L29" s="47">
        <f t="shared" si="1"/>
        <v>1</v>
      </c>
      <c r="M29" s="48"/>
      <c r="N29" s="14"/>
      <c r="O29" s="20">
        <f t="shared" si="3"/>
        <v>0</v>
      </c>
      <c r="P29" s="39">
        <v>0.2</v>
      </c>
      <c r="Q29" s="20">
        <f t="shared" si="5"/>
        <v>0</v>
      </c>
      <c r="R29" s="20">
        <f t="shared" si="6"/>
        <v>0</v>
      </c>
      <c r="S29" s="14">
        <f>G29*13.5</f>
        <v>607.5</v>
      </c>
      <c r="T29" s="14">
        <f>G29*8</f>
        <v>360</v>
      </c>
      <c r="U29" s="14">
        <f t="shared" si="2"/>
        <v>967.5</v>
      </c>
    </row>
    <row r="30" spans="1:21" s="7" customFormat="1" x14ac:dyDescent="0.3">
      <c r="A30" s="33" t="s">
        <v>46</v>
      </c>
      <c r="B30" s="36" t="s">
        <v>0</v>
      </c>
      <c r="C30" s="5">
        <v>65000</v>
      </c>
      <c r="D30" s="2">
        <f t="shared" si="0"/>
        <v>1950000</v>
      </c>
      <c r="E30" s="38" t="s">
        <v>77</v>
      </c>
      <c r="F30" s="19" t="s">
        <v>34</v>
      </c>
      <c r="G30" s="16">
        <v>200</v>
      </c>
      <c r="H30" s="16">
        <v>1</v>
      </c>
      <c r="I30" s="16" t="s">
        <v>136</v>
      </c>
      <c r="J30" s="37">
        <v>44562</v>
      </c>
      <c r="K30" s="37">
        <v>44926</v>
      </c>
      <c r="L30" s="47">
        <f t="shared" si="1"/>
        <v>1</v>
      </c>
      <c r="M30" s="48"/>
      <c r="N30" s="14"/>
      <c r="O30" s="20">
        <f t="shared" si="3"/>
        <v>0</v>
      </c>
      <c r="P30" s="39">
        <v>0.2</v>
      </c>
      <c r="Q30" s="20">
        <f t="shared" si="5"/>
        <v>0</v>
      </c>
      <c r="R30" s="20">
        <f t="shared" si="6"/>
        <v>0</v>
      </c>
      <c r="S30" s="14">
        <f>G30*13.5+800</f>
        <v>3500</v>
      </c>
      <c r="T30" s="14">
        <f>G30*8+1500</f>
        <v>3100</v>
      </c>
      <c r="U30" s="14">
        <f t="shared" si="2"/>
        <v>6600</v>
      </c>
    </row>
    <row r="31" spans="1:21" s="7" customFormat="1" ht="15" customHeight="1" x14ac:dyDescent="0.3">
      <c r="A31" s="33" t="s">
        <v>46</v>
      </c>
      <c r="B31" s="36" t="s">
        <v>0</v>
      </c>
      <c r="C31" s="5">
        <v>65000</v>
      </c>
      <c r="D31" s="2">
        <f t="shared" si="0"/>
        <v>1950000</v>
      </c>
      <c r="E31" s="38" t="s">
        <v>165</v>
      </c>
      <c r="F31" s="19" t="s">
        <v>166</v>
      </c>
      <c r="G31" s="16">
        <v>0.3</v>
      </c>
      <c r="H31" s="16">
        <v>1</v>
      </c>
      <c r="I31" s="36">
        <f>H31*12</f>
        <v>12</v>
      </c>
      <c r="J31" s="37">
        <v>44562</v>
      </c>
      <c r="K31" s="37">
        <v>44926</v>
      </c>
      <c r="L31" s="47">
        <f t="shared" si="1"/>
        <v>1</v>
      </c>
      <c r="M31" s="48"/>
      <c r="N31" s="14"/>
      <c r="O31" s="20">
        <f t="shared" si="3"/>
        <v>0</v>
      </c>
      <c r="P31" s="39">
        <v>0.2</v>
      </c>
      <c r="Q31" s="20">
        <f t="shared" si="5"/>
        <v>0</v>
      </c>
      <c r="R31" s="20">
        <f t="shared" si="6"/>
        <v>0</v>
      </c>
      <c r="S31" s="14">
        <f t="shared" ref="S31:S40" si="9">I31*3.5</f>
        <v>42</v>
      </c>
      <c r="T31" s="14">
        <f t="shared" ref="T31:T40" si="10">I31*6</f>
        <v>72</v>
      </c>
      <c r="U31" s="14">
        <f t="shared" si="2"/>
        <v>114</v>
      </c>
    </row>
    <row r="32" spans="1:21" s="7" customFormat="1" ht="15" customHeight="1" x14ac:dyDescent="0.3">
      <c r="A32" s="33" t="s">
        <v>46</v>
      </c>
      <c r="B32" s="36" t="s">
        <v>0</v>
      </c>
      <c r="C32" s="5">
        <v>65000</v>
      </c>
      <c r="D32" s="2">
        <f t="shared" si="0"/>
        <v>1950000</v>
      </c>
      <c r="E32" s="38" t="s">
        <v>165</v>
      </c>
      <c r="F32" s="19" t="s">
        <v>167</v>
      </c>
      <c r="G32" s="16">
        <v>0.3</v>
      </c>
      <c r="H32" s="16">
        <v>1</v>
      </c>
      <c r="I32" s="36">
        <f t="shared" ref="I32:I40" si="11">H32*12</f>
        <v>12</v>
      </c>
      <c r="J32" s="37">
        <v>44562</v>
      </c>
      <c r="K32" s="37">
        <v>44926</v>
      </c>
      <c r="L32" s="47">
        <f t="shared" si="1"/>
        <v>1</v>
      </c>
      <c r="M32" s="48"/>
      <c r="N32" s="14"/>
      <c r="O32" s="20">
        <f t="shared" ref="O32:O40" si="12">H32*L32*M32</f>
        <v>0</v>
      </c>
      <c r="P32" s="39">
        <v>0.2</v>
      </c>
      <c r="Q32" s="20">
        <f t="shared" ref="Q32:Q42" si="13">M32-M32*P32</f>
        <v>0</v>
      </c>
      <c r="R32" s="20">
        <f t="shared" ref="R32:R42" si="14">O32-O32*P32</f>
        <v>0</v>
      </c>
      <c r="S32" s="14">
        <f t="shared" si="9"/>
        <v>42</v>
      </c>
      <c r="T32" s="14">
        <f t="shared" si="10"/>
        <v>72</v>
      </c>
      <c r="U32" s="14">
        <f t="shared" si="2"/>
        <v>114</v>
      </c>
    </row>
    <row r="33" spans="1:21" s="7" customFormat="1" ht="15" customHeight="1" x14ac:dyDescent="0.3">
      <c r="A33" s="33" t="s">
        <v>46</v>
      </c>
      <c r="B33" s="36" t="s">
        <v>0</v>
      </c>
      <c r="C33" s="5">
        <v>65000</v>
      </c>
      <c r="D33" s="2">
        <f t="shared" si="0"/>
        <v>1950000</v>
      </c>
      <c r="E33" s="38" t="s">
        <v>165</v>
      </c>
      <c r="F33" s="19" t="s">
        <v>168</v>
      </c>
      <c r="G33" s="16">
        <v>0.3</v>
      </c>
      <c r="H33" s="16">
        <v>1</v>
      </c>
      <c r="I33" s="36">
        <f t="shared" si="11"/>
        <v>12</v>
      </c>
      <c r="J33" s="37">
        <v>44562</v>
      </c>
      <c r="K33" s="37">
        <v>44926</v>
      </c>
      <c r="L33" s="47">
        <f t="shared" si="1"/>
        <v>1</v>
      </c>
      <c r="M33" s="48"/>
      <c r="N33" s="14"/>
      <c r="O33" s="20">
        <f t="shared" si="12"/>
        <v>0</v>
      </c>
      <c r="P33" s="39">
        <v>0.2</v>
      </c>
      <c r="Q33" s="20">
        <f t="shared" si="13"/>
        <v>0</v>
      </c>
      <c r="R33" s="20">
        <f t="shared" si="14"/>
        <v>0</v>
      </c>
      <c r="S33" s="14">
        <f t="shared" si="9"/>
        <v>42</v>
      </c>
      <c r="T33" s="14">
        <f t="shared" si="10"/>
        <v>72</v>
      </c>
      <c r="U33" s="14">
        <f t="shared" si="2"/>
        <v>114</v>
      </c>
    </row>
    <row r="34" spans="1:21" s="7" customFormat="1" ht="15" customHeight="1" x14ac:dyDescent="0.3">
      <c r="A34" s="33" t="s">
        <v>46</v>
      </c>
      <c r="B34" s="36" t="s">
        <v>0</v>
      </c>
      <c r="C34" s="5">
        <v>65000</v>
      </c>
      <c r="D34" s="2">
        <f t="shared" si="0"/>
        <v>1950000</v>
      </c>
      <c r="E34" s="38" t="s">
        <v>165</v>
      </c>
      <c r="F34" s="19" t="s">
        <v>169</v>
      </c>
      <c r="G34" s="16">
        <v>0.3</v>
      </c>
      <c r="H34" s="16">
        <v>1</v>
      </c>
      <c r="I34" s="36">
        <f t="shared" si="11"/>
        <v>12</v>
      </c>
      <c r="J34" s="37">
        <v>44562</v>
      </c>
      <c r="K34" s="37">
        <v>44926</v>
      </c>
      <c r="L34" s="47">
        <f t="shared" si="1"/>
        <v>1</v>
      </c>
      <c r="M34" s="48"/>
      <c r="N34" s="14"/>
      <c r="O34" s="20">
        <f t="shared" si="12"/>
        <v>0</v>
      </c>
      <c r="P34" s="39">
        <v>0.2</v>
      </c>
      <c r="Q34" s="20">
        <f t="shared" si="13"/>
        <v>0</v>
      </c>
      <c r="R34" s="20">
        <f t="shared" si="14"/>
        <v>0</v>
      </c>
      <c r="S34" s="14">
        <f t="shared" si="9"/>
        <v>42</v>
      </c>
      <c r="T34" s="14">
        <f t="shared" si="10"/>
        <v>72</v>
      </c>
      <c r="U34" s="14">
        <f t="shared" si="2"/>
        <v>114</v>
      </c>
    </row>
    <row r="35" spans="1:21" s="7" customFormat="1" ht="15" customHeight="1" x14ac:dyDescent="0.3">
      <c r="A35" s="33" t="s">
        <v>46</v>
      </c>
      <c r="B35" s="36" t="s">
        <v>0</v>
      </c>
      <c r="C35" s="5">
        <v>65000</v>
      </c>
      <c r="D35" s="2">
        <f t="shared" si="0"/>
        <v>1950000</v>
      </c>
      <c r="E35" s="38" t="s">
        <v>165</v>
      </c>
      <c r="F35" s="19" t="s">
        <v>170</v>
      </c>
      <c r="G35" s="16">
        <v>0.3</v>
      </c>
      <c r="H35" s="16">
        <v>1</v>
      </c>
      <c r="I35" s="36">
        <f t="shared" si="11"/>
        <v>12</v>
      </c>
      <c r="J35" s="37">
        <v>44562</v>
      </c>
      <c r="K35" s="37">
        <v>44926</v>
      </c>
      <c r="L35" s="47">
        <f t="shared" si="1"/>
        <v>1</v>
      </c>
      <c r="M35" s="48"/>
      <c r="N35" s="14"/>
      <c r="O35" s="20">
        <f t="shared" si="12"/>
        <v>0</v>
      </c>
      <c r="P35" s="39">
        <v>0.2</v>
      </c>
      <c r="Q35" s="20">
        <f t="shared" si="13"/>
        <v>0</v>
      </c>
      <c r="R35" s="20">
        <f t="shared" si="14"/>
        <v>0</v>
      </c>
      <c r="S35" s="14">
        <f t="shared" si="9"/>
        <v>42</v>
      </c>
      <c r="T35" s="14">
        <f t="shared" si="10"/>
        <v>72</v>
      </c>
      <c r="U35" s="14">
        <f t="shared" si="2"/>
        <v>114</v>
      </c>
    </row>
    <row r="36" spans="1:21" s="7" customFormat="1" ht="15" customHeight="1" x14ac:dyDescent="0.3">
      <c r="A36" s="33" t="s">
        <v>46</v>
      </c>
      <c r="B36" s="36" t="s">
        <v>0</v>
      </c>
      <c r="C36" s="5">
        <v>65000</v>
      </c>
      <c r="D36" s="2">
        <f t="shared" si="0"/>
        <v>1950000</v>
      </c>
      <c r="E36" s="38" t="s">
        <v>165</v>
      </c>
      <c r="F36" s="19" t="s">
        <v>171</v>
      </c>
      <c r="G36" s="16">
        <v>0.3</v>
      </c>
      <c r="H36" s="16">
        <v>1</v>
      </c>
      <c r="I36" s="36">
        <f>H36*12</f>
        <v>12</v>
      </c>
      <c r="J36" s="37">
        <v>44562</v>
      </c>
      <c r="K36" s="37">
        <v>44926</v>
      </c>
      <c r="L36" s="47">
        <f t="shared" si="1"/>
        <v>1</v>
      </c>
      <c r="M36" s="48"/>
      <c r="N36" s="14"/>
      <c r="O36" s="20">
        <f t="shared" si="12"/>
        <v>0</v>
      </c>
      <c r="P36" s="39">
        <v>0.2</v>
      </c>
      <c r="Q36" s="20">
        <f t="shared" si="13"/>
        <v>0</v>
      </c>
      <c r="R36" s="20">
        <f t="shared" si="14"/>
        <v>0</v>
      </c>
      <c r="S36" s="14">
        <f t="shared" si="9"/>
        <v>42</v>
      </c>
      <c r="T36" s="14">
        <f t="shared" si="10"/>
        <v>72</v>
      </c>
      <c r="U36" s="14">
        <f t="shared" si="2"/>
        <v>114</v>
      </c>
    </row>
    <row r="37" spans="1:21" s="7" customFormat="1" ht="15" customHeight="1" x14ac:dyDescent="0.3">
      <c r="A37" s="33" t="s">
        <v>46</v>
      </c>
      <c r="B37" s="36" t="s">
        <v>0</v>
      </c>
      <c r="C37" s="5">
        <v>65000</v>
      </c>
      <c r="D37" s="2">
        <f t="shared" si="0"/>
        <v>1950000</v>
      </c>
      <c r="E37" s="38" t="s">
        <v>165</v>
      </c>
      <c r="F37" s="19" t="s">
        <v>172</v>
      </c>
      <c r="G37" s="16">
        <v>0.3</v>
      </c>
      <c r="H37" s="16">
        <v>1</v>
      </c>
      <c r="I37" s="36">
        <f t="shared" si="11"/>
        <v>12</v>
      </c>
      <c r="J37" s="37">
        <v>44562</v>
      </c>
      <c r="K37" s="37">
        <v>44926</v>
      </c>
      <c r="L37" s="47">
        <f t="shared" si="1"/>
        <v>1</v>
      </c>
      <c r="M37" s="48"/>
      <c r="N37" s="14"/>
      <c r="O37" s="20">
        <f t="shared" si="12"/>
        <v>0</v>
      </c>
      <c r="P37" s="39">
        <v>0.2</v>
      </c>
      <c r="Q37" s="20">
        <f t="shared" si="13"/>
        <v>0</v>
      </c>
      <c r="R37" s="20">
        <f t="shared" si="14"/>
        <v>0</v>
      </c>
      <c r="S37" s="14">
        <f t="shared" si="9"/>
        <v>42</v>
      </c>
      <c r="T37" s="14">
        <f t="shared" si="10"/>
        <v>72</v>
      </c>
      <c r="U37" s="14">
        <f t="shared" si="2"/>
        <v>114</v>
      </c>
    </row>
    <row r="38" spans="1:21" s="7" customFormat="1" ht="15" customHeight="1" x14ac:dyDescent="0.3">
      <c r="A38" s="33" t="s">
        <v>46</v>
      </c>
      <c r="B38" s="36" t="s">
        <v>0</v>
      </c>
      <c r="C38" s="5">
        <v>65000</v>
      </c>
      <c r="D38" s="2">
        <f t="shared" si="0"/>
        <v>1950000</v>
      </c>
      <c r="E38" s="38" t="s">
        <v>165</v>
      </c>
      <c r="F38" s="19" t="s">
        <v>173</v>
      </c>
      <c r="G38" s="16">
        <v>0.3</v>
      </c>
      <c r="H38" s="16">
        <v>1</v>
      </c>
      <c r="I38" s="36">
        <f t="shared" si="11"/>
        <v>12</v>
      </c>
      <c r="J38" s="37">
        <v>44562</v>
      </c>
      <c r="K38" s="37">
        <v>44926</v>
      </c>
      <c r="L38" s="47">
        <f t="shared" si="1"/>
        <v>1</v>
      </c>
      <c r="M38" s="48"/>
      <c r="N38" s="14"/>
      <c r="O38" s="20">
        <f t="shared" si="12"/>
        <v>0</v>
      </c>
      <c r="P38" s="39">
        <v>0.2</v>
      </c>
      <c r="Q38" s="20">
        <f t="shared" si="13"/>
        <v>0</v>
      </c>
      <c r="R38" s="20">
        <f t="shared" si="14"/>
        <v>0</v>
      </c>
      <c r="S38" s="14">
        <f t="shared" si="9"/>
        <v>42</v>
      </c>
      <c r="T38" s="14">
        <f t="shared" si="10"/>
        <v>72</v>
      </c>
      <c r="U38" s="14">
        <f t="shared" si="2"/>
        <v>114</v>
      </c>
    </row>
    <row r="39" spans="1:21" s="7" customFormat="1" ht="15" customHeight="1" x14ac:dyDescent="0.3">
      <c r="A39" s="33" t="s">
        <v>46</v>
      </c>
      <c r="B39" s="36" t="s">
        <v>0</v>
      </c>
      <c r="C39" s="5">
        <v>65000</v>
      </c>
      <c r="D39" s="2">
        <f t="shared" si="0"/>
        <v>1950000</v>
      </c>
      <c r="E39" s="38" t="s">
        <v>165</v>
      </c>
      <c r="F39" s="19" t="s">
        <v>174</v>
      </c>
      <c r="G39" s="16">
        <v>0.3</v>
      </c>
      <c r="H39" s="16">
        <v>1</v>
      </c>
      <c r="I39" s="36">
        <f t="shared" si="11"/>
        <v>12</v>
      </c>
      <c r="J39" s="37">
        <v>44562</v>
      </c>
      <c r="K39" s="37">
        <v>44926</v>
      </c>
      <c r="L39" s="47">
        <f t="shared" si="1"/>
        <v>1</v>
      </c>
      <c r="M39" s="48"/>
      <c r="N39" s="14"/>
      <c r="O39" s="20">
        <f t="shared" si="12"/>
        <v>0</v>
      </c>
      <c r="P39" s="39">
        <v>0.2</v>
      </c>
      <c r="Q39" s="20">
        <f t="shared" si="13"/>
        <v>0</v>
      </c>
      <c r="R39" s="20">
        <f t="shared" si="14"/>
        <v>0</v>
      </c>
      <c r="S39" s="14">
        <f t="shared" si="9"/>
        <v>42</v>
      </c>
      <c r="T39" s="14">
        <f t="shared" si="10"/>
        <v>72</v>
      </c>
      <c r="U39" s="14">
        <f t="shared" si="2"/>
        <v>114</v>
      </c>
    </row>
    <row r="40" spans="1:21" s="7" customFormat="1" ht="15" customHeight="1" x14ac:dyDescent="0.3">
      <c r="A40" s="33" t="s">
        <v>46</v>
      </c>
      <c r="B40" s="36" t="s">
        <v>0</v>
      </c>
      <c r="C40" s="5">
        <v>65000</v>
      </c>
      <c r="D40" s="2">
        <f t="shared" si="0"/>
        <v>1950000</v>
      </c>
      <c r="E40" s="38" t="s">
        <v>165</v>
      </c>
      <c r="F40" s="19" t="s">
        <v>175</v>
      </c>
      <c r="G40" s="16">
        <v>0.3</v>
      </c>
      <c r="H40" s="16">
        <v>1</v>
      </c>
      <c r="I40" s="36">
        <f t="shared" si="11"/>
        <v>12</v>
      </c>
      <c r="J40" s="37">
        <v>44562</v>
      </c>
      <c r="K40" s="37">
        <v>44926</v>
      </c>
      <c r="L40" s="47">
        <f t="shared" si="1"/>
        <v>1</v>
      </c>
      <c r="M40" s="48"/>
      <c r="N40" s="14"/>
      <c r="O40" s="20">
        <f t="shared" si="12"/>
        <v>0</v>
      </c>
      <c r="P40" s="39">
        <v>0.2</v>
      </c>
      <c r="Q40" s="20">
        <f t="shared" si="13"/>
        <v>0</v>
      </c>
      <c r="R40" s="20">
        <f t="shared" si="14"/>
        <v>0</v>
      </c>
      <c r="S40" s="14">
        <f t="shared" si="9"/>
        <v>42</v>
      </c>
      <c r="T40" s="14">
        <f t="shared" si="10"/>
        <v>72</v>
      </c>
      <c r="U40" s="14">
        <f t="shared" si="2"/>
        <v>114</v>
      </c>
    </row>
    <row r="41" spans="1:21" s="7" customFormat="1" x14ac:dyDescent="0.3">
      <c r="A41" s="33" t="s">
        <v>46</v>
      </c>
      <c r="B41" s="36" t="s">
        <v>0</v>
      </c>
      <c r="C41" s="5">
        <v>65000</v>
      </c>
      <c r="D41" s="2">
        <f t="shared" si="0"/>
        <v>1950000</v>
      </c>
      <c r="E41" s="38" t="s">
        <v>106</v>
      </c>
      <c r="F41" s="19" t="s">
        <v>111</v>
      </c>
      <c r="G41" s="16">
        <v>1</v>
      </c>
      <c r="H41" s="16">
        <v>1</v>
      </c>
      <c r="I41" s="36">
        <f>H41*15</f>
        <v>15</v>
      </c>
      <c r="J41" s="37">
        <v>44562</v>
      </c>
      <c r="K41" s="37">
        <v>44926</v>
      </c>
      <c r="L41" s="47">
        <f t="shared" si="1"/>
        <v>1</v>
      </c>
      <c r="M41" s="48"/>
      <c r="N41" s="14"/>
      <c r="O41" s="20">
        <f t="shared" si="3"/>
        <v>0</v>
      </c>
      <c r="P41" s="39">
        <v>0.2</v>
      </c>
      <c r="Q41" s="20">
        <f t="shared" si="13"/>
        <v>0</v>
      </c>
      <c r="R41" s="20">
        <f t="shared" si="14"/>
        <v>0</v>
      </c>
      <c r="S41" s="14">
        <f>I41*13.5</f>
        <v>202.5</v>
      </c>
      <c r="T41" s="14">
        <f>I41*8</f>
        <v>120</v>
      </c>
      <c r="U41" s="14">
        <f t="shared" si="2"/>
        <v>322.5</v>
      </c>
    </row>
    <row r="42" spans="1:21" s="7" customFormat="1" x14ac:dyDescent="0.3">
      <c r="A42" s="33" t="s">
        <v>46</v>
      </c>
      <c r="B42" s="36" t="s">
        <v>0</v>
      </c>
      <c r="C42" s="5">
        <v>65000</v>
      </c>
      <c r="D42" s="2">
        <f t="shared" si="0"/>
        <v>1950000</v>
      </c>
      <c r="E42" s="38" t="s">
        <v>105</v>
      </c>
      <c r="F42" s="19" t="s">
        <v>112</v>
      </c>
      <c r="G42" s="16">
        <v>1</v>
      </c>
      <c r="H42" s="16">
        <v>1</v>
      </c>
      <c r="I42" s="36">
        <f>H42*15</f>
        <v>15</v>
      </c>
      <c r="J42" s="37">
        <v>44562</v>
      </c>
      <c r="K42" s="37">
        <v>44926</v>
      </c>
      <c r="L42" s="47">
        <f t="shared" si="1"/>
        <v>1</v>
      </c>
      <c r="M42" s="48"/>
      <c r="N42" s="14"/>
      <c r="O42" s="20">
        <f t="shared" si="3"/>
        <v>0</v>
      </c>
      <c r="P42" s="39">
        <v>0.2</v>
      </c>
      <c r="Q42" s="20">
        <f t="shared" si="13"/>
        <v>0</v>
      </c>
      <c r="R42" s="20">
        <f t="shared" si="14"/>
        <v>0</v>
      </c>
      <c r="S42" s="14">
        <f>I42*13.5</f>
        <v>202.5</v>
      </c>
      <c r="T42" s="14">
        <f>I42*8</f>
        <v>120</v>
      </c>
      <c r="U42" s="14">
        <f t="shared" si="2"/>
        <v>322.5</v>
      </c>
    </row>
    <row r="43" spans="1:21" s="7" customFormat="1" x14ac:dyDescent="0.3">
      <c r="A43" s="60" t="s">
        <v>46</v>
      </c>
      <c r="B43" s="61" t="s">
        <v>0</v>
      </c>
      <c r="C43" s="5">
        <v>65000</v>
      </c>
      <c r="D43" s="2">
        <f t="shared" si="0"/>
        <v>1950000</v>
      </c>
      <c r="E43" s="38" t="s">
        <v>141</v>
      </c>
      <c r="F43" s="19" t="s">
        <v>177</v>
      </c>
      <c r="G43" s="40" t="s">
        <v>176</v>
      </c>
      <c r="H43" s="40">
        <v>4</v>
      </c>
      <c r="I43" s="61">
        <f>16</f>
        <v>16</v>
      </c>
      <c r="J43" s="37">
        <v>44562</v>
      </c>
      <c r="K43" s="37">
        <v>44926</v>
      </c>
      <c r="L43" s="47">
        <f t="shared" si="1"/>
        <v>1</v>
      </c>
      <c r="M43" s="62"/>
      <c r="N43" s="54"/>
      <c r="O43" s="56">
        <f t="shared" si="3"/>
        <v>0</v>
      </c>
      <c r="P43" s="58">
        <v>0.2</v>
      </c>
      <c r="Q43" s="56">
        <f t="shared" si="5"/>
        <v>0</v>
      </c>
      <c r="R43" s="56">
        <f t="shared" si="6"/>
        <v>0</v>
      </c>
      <c r="S43" s="54">
        <f>180*I43</f>
        <v>2880</v>
      </c>
      <c r="T43" s="54">
        <f>50*I43</f>
        <v>800</v>
      </c>
      <c r="U43" s="14">
        <f t="shared" si="2"/>
        <v>3680</v>
      </c>
    </row>
    <row r="44" spans="1:21" s="16" customFormat="1" x14ac:dyDescent="0.3">
      <c r="A44" s="33" t="s">
        <v>46</v>
      </c>
      <c r="B44" s="36" t="s">
        <v>0</v>
      </c>
      <c r="C44" s="5">
        <v>65000</v>
      </c>
      <c r="D44" s="2">
        <f t="shared" si="0"/>
        <v>1950000</v>
      </c>
      <c r="E44" s="38" t="s">
        <v>141</v>
      </c>
      <c r="F44" s="19" t="s">
        <v>178</v>
      </c>
      <c r="G44" s="16" t="s">
        <v>176</v>
      </c>
      <c r="H44" s="16">
        <v>4</v>
      </c>
      <c r="I44" s="36">
        <f>16</f>
        <v>16</v>
      </c>
      <c r="J44" s="37">
        <v>44562</v>
      </c>
      <c r="K44" s="37">
        <v>44926</v>
      </c>
      <c r="L44" s="47">
        <f t="shared" si="1"/>
        <v>1</v>
      </c>
      <c r="M44" s="48"/>
      <c r="N44" s="14"/>
      <c r="O44" s="20">
        <f t="shared" si="3"/>
        <v>0</v>
      </c>
      <c r="P44" s="39">
        <v>0.2</v>
      </c>
      <c r="Q44" s="20">
        <f t="shared" si="5"/>
        <v>0</v>
      </c>
      <c r="R44" s="20">
        <f t="shared" si="6"/>
        <v>0</v>
      </c>
      <c r="S44" s="14">
        <f>180*I44</f>
        <v>2880</v>
      </c>
      <c r="T44" s="14">
        <f>50*I44</f>
        <v>800</v>
      </c>
      <c r="U44" s="14">
        <f t="shared" si="2"/>
        <v>3680</v>
      </c>
    </row>
    <row r="45" spans="1:21" s="7" customFormat="1" x14ac:dyDescent="0.3">
      <c r="A45" s="63" t="s">
        <v>46</v>
      </c>
      <c r="B45" s="64" t="s">
        <v>0</v>
      </c>
      <c r="C45" s="5">
        <v>65000</v>
      </c>
      <c r="D45" s="2">
        <f t="shared" si="0"/>
        <v>1950000</v>
      </c>
      <c r="E45" s="38" t="s">
        <v>140</v>
      </c>
      <c r="F45" s="19" t="s">
        <v>19</v>
      </c>
      <c r="G45" s="42">
        <v>30</v>
      </c>
      <c r="H45" s="42">
        <v>1</v>
      </c>
      <c r="I45" s="64">
        <v>3</v>
      </c>
      <c r="J45" s="37">
        <v>44562</v>
      </c>
      <c r="K45" s="37">
        <v>44926</v>
      </c>
      <c r="L45" s="47">
        <f t="shared" si="1"/>
        <v>1</v>
      </c>
      <c r="M45" s="65"/>
      <c r="N45" s="55"/>
      <c r="O45" s="57">
        <f t="shared" si="3"/>
        <v>0</v>
      </c>
      <c r="P45" s="59">
        <v>0.2</v>
      </c>
      <c r="Q45" s="57">
        <f t="shared" si="5"/>
        <v>0</v>
      </c>
      <c r="R45" s="57">
        <f t="shared" si="6"/>
        <v>0</v>
      </c>
      <c r="S45" s="55">
        <f>G45*I45*50</f>
        <v>4500</v>
      </c>
      <c r="T45" s="55">
        <f>G45*I45*8+600</f>
        <v>1320</v>
      </c>
      <c r="U45" s="14">
        <f t="shared" si="2"/>
        <v>5820</v>
      </c>
    </row>
    <row r="46" spans="1:21" s="7" customFormat="1" x14ac:dyDescent="0.3">
      <c r="A46" s="33" t="s">
        <v>46</v>
      </c>
      <c r="B46" s="36" t="s">
        <v>0</v>
      </c>
      <c r="C46" s="5">
        <v>65000</v>
      </c>
      <c r="D46" s="2">
        <f t="shared" si="0"/>
        <v>1950000</v>
      </c>
      <c r="E46" s="38" t="s">
        <v>90</v>
      </c>
      <c r="F46" s="19" t="s">
        <v>119</v>
      </c>
      <c r="G46" s="16">
        <v>18</v>
      </c>
      <c r="H46" s="16">
        <v>2</v>
      </c>
      <c r="I46" s="36">
        <f>H46*2</f>
        <v>4</v>
      </c>
      <c r="J46" s="37">
        <v>44562</v>
      </c>
      <c r="K46" s="37">
        <v>44926</v>
      </c>
      <c r="L46" s="47">
        <f t="shared" si="1"/>
        <v>1</v>
      </c>
      <c r="M46" s="48"/>
      <c r="N46" s="14"/>
      <c r="O46" s="20">
        <f t="shared" si="3"/>
        <v>0</v>
      </c>
      <c r="P46" s="39">
        <v>0.2</v>
      </c>
      <c r="Q46" s="20">
        <f>M46-M46*P46</f>
        <v>0</v>
      </c>
      <c r="R46" s="20">
        <f>O46-O46*P46</f>
        <v>0</v>
      </c>
      <c r="S46" s="14">
        <f>H46*288</f>
        <v>576</v>
      </c>
      <c r="T46" s="14">
        <f>H46*144</f>
        <v>288</v>
      </c>
      <c r="U46" s="14">
        <f t="shared" si="2"/>
        <v>864</v>
      </c>
    </row>
    <row r="47" spans="1:21" s="7" customFormat="1" x14ac:dyDescent="0.3">
      <c r="A47" s="33" t="s">
        <v>46</v>
      </c>
      <c r="B47" s="36" t="s">
        <v>0</v>
      </c>
      <c r="C47" s="5">
        <v>65000</v>
      </c>
      <c r="D47" s="2">
        <f t="shared" si="0"/>
        <v>1950000</v>
      </c>
      <c r="E47" s="38" t="s">
        <v>90</v>
      </c>
      <c r="F47" s="19" t="s">
        <v>120</v>
      </c>
      <c r="G47" s="16">
        <v>18</v>
      </c>
      <c r="H47" s="16">
        <v>3</v>
      </c>
      <c r="I47" s="36">
        <f>H47*2</f>
        <v>6</v>
      </c>
      <c r="J47" s="37">
        <v>44562</v>
      </c>
      <c r="K47" s="37">
        <v>44926</v>
      </c>
      <c r="L47" s="47">
        <f t="shared" si="1"/>
        <v>1</v>
      </c>
      <c r="M47" s="48"/>
      <c r="N47" s="14"/>
      <c r="O47" s="20">
        <f t="shared" si="3"/>
        <v>0</v>
      </c>
      <c r="P47" s="39">
        <v>0.2</v>
      </c>
      <c r="Q47" s="20">
        <f t="shared" si="5"/>
        <v>0</v>
      </c>
      <c r="R47" s="20">
        <f t="shared" si="6"/>
        <v>0</v>
      </c>
      <c r="S47" s="14">
        <f>H47*288</f>
        <v>864</v>
      </c>
      <c r="T47" s="14">
        <f>H47*144</f>
        <v>432</v>
      </c>
      <c r="U47" s="14">
        <f t="shared" si="2"/>
        <v>1296</v>
      </c>
    </row>
    <row r="48" spans="1:21" s="66" customFormat="1" x14ac:dyDescent="0.3">
      <c r="A48" s="33" t="s">
        <v>46</v>
      </c>
      <c r="B48" s="36" t="s">
        <v>0</v>
      </c>
      <c r="C48" s="5">
        <v>65000</v>
      </c>
      <c r="D48" s="2">
        <f t="shared" si="0"/>
        <v>1950000</v>
      </c>
      <c r="E48" s="38" t="s">
        <v>90</v>
      </c>
      <c r="F48" s="47" t="s">
        <v>302</v>
      </c>
      <c r="G48" s="16">
        <v>8</v>
      </c>
      <c r="H48" s="16">
        <v>4</v>
      </c>
      <c r="I48" s="36">
        <f>H48*2</f>
        <v>8</v>
      </c>
      <c r="J48" s="37">
        <v>44562</v>
      </c>
      <c r="K48" s="37">
        <v>44926</v>
      </c>
      <c r="L48" s="47">
        <f t="shared" si="1"/>
        <v>1</v>
      </c>
      <c r="M48" s="48"/>
      <c r="N48" s="14"/>
      <c r="O48" s="20">
        <f t="shared" si="3"/>
        <v>0</v>
      </c>
      <c r="P48" s="39">
        <v>0.2</v>
      </c>
      <c r="Q48" s="20">
        <f>M48-M48*P48</f>
        <v>0</v>
      </c>
      <c r="R48" s="20">
        <f>O48-O48*P48</f>
        <v>0</v>
      </c>
      <c r="S48" s="14">
        <f>H48*128</f>
        <v>512</v>
      </c>
      <c r="T48" s="14">
        <f>H48*150</f>
        <v>600</v>
      </c>
      <c r="U48" s="14">
        <f t="shared" si="2"/>
        <v>1112</v>
      </c>
    </row>
    <row r="49" spans="1:21" s="7" customFormat="1" x14ac:dyDescent="0.3">
      <c r="A49" s="33" t="s">
        <v>46</v>
      </c>
      <c r="B49" s="36" t="s">
        <v>0</v>
      </c>
      <c r="C49" s="5">
        <v>65000</v>
      </c>
      <c r="D49" s="2">
        <f t="shared" si="0"/>
        <v>1950000</v>
      </c>
      <c r="E49" s="38" t="s">
        <v>79</v>
      </c>
      <c r="F49" s="19" t="s">
        <v>78</v>
      </c>
      <c r="G49" s="16">
        <v>40</v>
      </c>
      <c r="H49" s="36">
        <v>1</v>
      </c>
      <c r="I49" s="36" t="s">
        <v>136</v>
      </c>
      <c r="J49" s="37">
        <v>44562</v>
      </c>
      <c r="K49" s="37">
        <v>44926</v>
      </c>
      <c r="L49" s="47">
        <f t="shared" si="1"/>
        <v>1</v>
      </c>
      <c r="M49" s="48"/>
      <c r="N49" s="14"/>
      <c r="O49" s="20">
        <f t="shared" si="3"/>
        <v>0</v>
      </c>
      <c r="P49" s="39">
        <v>0.2</v>
      </c>
      <c r="Q49" s="20">
        <f t="shared" si="5"/>
        <v>0</v>
      </c>
      <c r="R49" s="20">
        <f t="shared" si="6"/>
        <v>0</v>
      </c>
      <c r="S49" s="14">
        <f>G49*13.5</f>
        <v>540</v>
      </c>
      <c r="T49" s="14">
        <f>G49*8</f>
        <v>320</v>
      </c>
      <c r="U49" s="14">
        <f t="shared" si="2"/>
        <v>860</v>
      </c>
    </row>
    <row r="50" spans="1:21" s="7" customFormat="1" x14ac:dyDescent="0.3">
      <c r="A50" s="33" t="s">
        <v>46</v>
      </c>
      <c r="B50" s="36" t="s">
        <v>0</v>
      </c>
      <c r="C50" s="5">
        <v>65000</v>
      </c>
      <c r="D50" s="2">
        <f t="shared" si="0"/>
        <v>1950000</v>
      </c>
      <c r="E50" s="38" t="s">
        <v>79</v>
      </c>
      <c r="F50" s="19" t="s">
        <v>19</v>
      </c>
      <c r="G50" s="16">
        <v>40</v>
      </c>
      <c r="H50" s="36">
        <v>1</v>
      </c>
      <c r="I50" s="36" t="s">
        <v>136</v>
      </c>
      <c r="J50" s="37">
        <v>44562</v>
      </c>
      <c r="K50" s="37">
        <v>44926</v>
      </c>
      <c r="L50" s="47">
        <f t="shared" si="1"/>
        <v>1</v>
      </c>
      <c r="M50" s="48"/>
      <c r="N50" s="14"/>
      <c r="O50" s="20">
        <f t="shared" si="3"/>
        <v>0</v>
      </c>
      <c r="P50" s="39">
        <v>0.2</v>
      </c>
      <c r="Q50" s="20">
        <f t="shared" si="5"/>
        <v>0</v>
      </c>
      <c r="R50" s="20">
        <f t="shared" si="6"/>
        <v>0</v>
      </c>
      <c r="S50" s="14">
        <f>G50*13.5</f>
        <v>540</v>
      </c>
      <c r="T50" s="14">
        <f>G50*8</f>
        <v>320</v>
      </c>
      <c r="U50" s="14">
        <f t="shared" si="2"/>
        <v>860</v>
      </c>
    </row>
    <row r="51" spans="1:21" s="7" customFormat="1" x14ac:dyDescent="0.3">
      <c r="A51" s="33" t="s">
        <v>46</v>
      </c>
      <c r="B51" s="36" t="s">
        <v>0</v>
      </c>
      <c r="C51" s="5">
        <v>65000</v>
      </c>
      <c r="D51" s="2">
        <f t="shared" si="0"/>
        <v>1950000</v>
      </c>
      <c r="E51" s="38" t="s">
        <v>79</v>
      </c>
      <c r="F51" s="47" t="s">
        <v>101</v>
      </c>
      <c r="G51" s="16">
        <v>20</v>
      </c>
      <c r="H51" s="36">
        <v>1</v>
      </c>
      <c r="I51" s="36">
        <f>H51*12</f>
        <v>12</v>
      </c>
      <c r="J51" s="37">
        <v>44562</v>
      </c>
      <c r="K51" s="37">
        <v>44926</v>
      </c>
      <c r="L51" s="47">
        <f t="shared" si="1"/>
        <v>1</v>
      </c>
      <c r="M51" s="48"/>
      <c r="N51" s="14"/>
      <c r="O51" s="20">
        <f t="shared" si="3"/>
        <v>0</v>
      </c>
      <c r="P51" s="39">
        <v>0.2</v>
      </c>
      <c r="Q51" s="20">
        <f t="shared" si="5"/>
        <v>0</v>
      </c>
      <c r="R51" s="20">
        <f t="shared" si="6"/>
        <v>0</v>
      </c>
      <c r="S51" s="14">
        <f>G51*13.5</f>
        <v>270</v>
      </c>
      <c r="T51" s="14">
        <f>G51*8</f>
        <v>160</v>
      </c>
      <c r="U51" s="14">
        <f t="shared" si="2"/>
        <v>430</v>
      </c>
    </row>
    <row r="52" spans="1:21" s="7" customFormat="1" x14ac:dyDescent="0.3">
      <c r="A52" s="33" t="s">
        <v>46</v>
      </c>
      <c r="B52" s="36" t="s">
        <v>0</v>
      </c>
      <c r="C52" s="5">
        <v>65000</v>
      </c>
      <c r="D52" s="2">
        <f t="shared" si="0"/>
        <v>1950000</v>
      </c>
      <c r="E52" s="38" t="s">
        <v>79</v>
      </c>
      <c r="F52" s="47" t="s">
        <v>181</v>
      </c>
      <c r="G52" s="16">
        <v>20</v>
      </c>
      <c r="H52" s="36">
        <v>1</v>
      </c>
      <c r="I52" s="36">
        <f>H52*12</f>
        <v>12</v>
      </c>
      <c r="J52" s="37">
        <v>44562</v>
      </c>
      <c r="K52" s="37">
        <v>44926</v>
      </c>
      <c r="L52" s="47">
        <f t="shared" si="1"/>
        <v>1</v>
      </c>
      <c r="M52" s="48"/>
      <c r="N52" s="14"/>
      <c r="O52" s="20">
        <f>H52*L52*M52</f>
        <v>0</v>
      </c>
      <c r="P52" s="39">
        <v>0.2</v>
      </c>
      <c r="Q52" s="20">
        <f>M52-M52*P52</f>
        <v>0</v>
      </c>
      <c r="R52" s="20">
        <f>O52-O52*P52</f>
        <v>0</v>
      </c>
      <c r="S52" s="14">
        <f>G52*13.5</f>
        <v>270</v>
      </c>
      <c r="T52" s="14">
        <f>G52*8</f>
        <v>160</v>
      </c>
      <c r="U52" s="14">
        <f t="shared" si="2"/>
        <v>430</v>
      </c>
    </row>
    <row r="53" spans="1:21" s="7" customFormat="1" x14ac:dyDescent="0.3">
      <c r="A53" s="33" t="s">
        <v>46</v>
      </c>
      <c r="B53" s="36" t="s">
        <v>0</v>
      </c>
      <c r="C53" s="5">
        <v>65000</v>
      </c>
      <c r="D53" s="2">
        <f t="shared" si="0"/>
        <v>1950000</v>
      </c>
      <c r="E53" s="38" t="s">
        <v>80</v>
      </c>
      <c r="F53" s="19" t="s">
        <v>78</v>
      </c>
      <c r="G53" s="16">
        <v>2</v>
      </c>
      <c r="H53" s="36">
        <v>1</v>
      </c>
      <c r="I53" s="36">
        <f>H53*2</f>
        <v>2</v>
      </c>
      <c r="J53" s="37">
        <v>44562</v>
      </c>
      <c r="K53" s="37">
        <v>44926</v>
      </c>
      <c r="L53" s="47">
        <f t="shared" si="1"/>
        <v>1</v>
      </c>
      <c r="M53" s="48"/>
      <c r="N53" s="14"/>
      <c r="O53" s="20">
        <f t="shared" si="3"/>
        <v>0</v>
      </c>
      <c r="P53" s="39">
        <v>0.2</v>
      </c>
      <c r="Q53" s="20">
        <f t="shared" si="5"/>
        <v>0</v>
      </c>
      <c r="R53" s="20">
        <f t="shared" si="6"/>
        <v>0</v>
      </c>
      <c r="S53" s="14">
        <f>I53*100</f>
        <v>200</v>
      </c>
      <c r="T53" s="14">
        <f>I53*20</f>
        <v>40</v>
      </c>
      <c r="U53" s="14">
        <f t="shared" si="2"/>
        <v>240</v>
      </c>
    </row>
    <row r="54" spans="1:21" s="7" customFormat="1" x14ac:dyDescent="0.3">
      <c r="A54" s="33" t="s">
        <v>46</v>
      </c>
      <c r="B54" s="36" t="s">
        <v>0</v>
      </c>
      <c r="C54" s="5">
        <v>65000</v>
      </c>
      <c r="D54" s="2">
        <f t="shared" si="0"/>
        <v>1950000</v>
      </c>
      <c r="E54" s="38" t="s">
        <v>80</v>
      </c>
      <c r="F54" s="19" t="s">
        <v>19</v>
      </c>
      <c r="G54" s="16">
        <v>2</v>
      </c>
      <c r="H54" s="36">
        <v>1</v>
      </c>
      <c r="I54" s="36">
        <f>H54*2</f>
        <v>2</v>
      </c>
      <c r="J54" s="37">
        <v>44562</v>
      </c>
      <c r="K54" s="37">
        <v>44926</v>
      </c>
      <c r="L54" s="47">
        <f t="shared" si="1"/>
        <v>1</v>
      </c>
      <c r="M54" s="48"/>
      <c r="N54" s="14"/>
      <c r="O54" s="20">
        <f t="shared" ref="O54:O201" si="15">H54*L54*M54</f>
        <v>0</v>
      </c>
      <c r="P54" s="39">
        <v>0.2</v>
      </c>
      <c r="Q54" s="20">
        <f t="shared" si="5"/>
        <v>0</v>
      </c>
      <c r="R54" s="20">
        <f t="shared" si="6"/>
        <v>0</v>
      </c>
      <c r="S54" s="14">
        <f>I54*100</f>
        <v>200</v>
      </c>
      <c r="T54" s="14">
        <f>I54*20</f>
        <v>40</v>
      </c>
      <c r="U54" s="14">
        <f t="shared" si="2"/>
        <v>240</v>
      </c>
    </row>
    <row r="55" spans="1:21" s="7" customFormat="1" x14ac:dyDescent="0.3">
      <c r="A55" s="33" t="s">
        <v>46</v>
      </c>
      <c r="B55" s="36" t="s">
        <v>0</v>
      </c>
      <c r="C55" s="5">
        <v>65000</v>
      </c>
      <c r="D55" s="2">
        <f t="shared" si="0"/>
        <v>1950000</v>
      </c>
      <c r="E55" s="38" t="s">
        <v>113</v>
      </c>
      <c r="F55" s="19" t="s">
        <v>83</v>
      </c>
      <c r="G55" s="16">
        <v>15</v>
      </c>
      <c r="H55" s="36">
        <v>1</v>
      </c>
      <c r="I55" s="36">
        <f>H55*8</f>
        <v>8</v>
      </c>
      <c r="J55" s="37">
        <v>44562</v>
      </c>
      <c r="K55" s="37">
        <v>44926</v>
      </c>
      <c r="L55" s="47">
        <f t="shared" si="1"/>
        <v>1</v>
      </c>
      <c r="M55" s="48"/>
      <c r="N55" s="14"/>
      <c r="O55" s="20">
        <f t="shared" si="15"/>
        <v>0</v>
      </c>
      <c r="P55" s="39">
        <v>0.2</v>
      </c>
      <c r="Q55" s="20">
        <f t="shared" si="5"/>
        <v>0</v>
      </c>
      <c r="R55" s="20">
        <f t="shared" si="6"/>
        <v>0</v>
      </c>
      <c r="S55" s="14">
        <f>G55*13.5</f>
        <v>202.5</v>
      </c>
      <c r="T55" s="14">
        <f>G55*8</f>
        <v>120</v>
      </c>
      <c r="U55" s="14">
        <f t="shared" si="2"/>
        <v>322.5</v>
      </c>
    </row>
    <row r="56" spans="1:21" s="7" customFormat="1" x14ac:dyDescent="0.3">
      <c r="A56" s="33" t="s">
        <v>46</v>
      </c>
      <c r="B56" s="36" t="s">
        <v>0</v>
      </c>
      <c r="C56" s="5">
        <v>65000</v>
      </c>
      <c r="D56" s="2">
        <f t="shared" si="0"/>
        <v>1950000</v>
      </c>
      <c r="E56" s="38" t="s">
        <v>113</v>
      </c>
      <c r="F56" s="47" t="s">
        <v>82</v>
      </c>
      <c r="G56" s="16">
        <v>15</v>
      </c>
      <c r="H56" s="36">
        <v>1</v>
      </c>
      <c r="I56" s="36">
        <f>H56*8</f>
        <v>8</v>
      </c>
      <c r="J56" s="37">
        <v>44562</v>
      </c>
      <c r="K56" s="37">
        <v>44926</v>
      </c>
      <c r="L56" s="47">
        <f t="shared" si="1"/>
        <v>1</v>
      </c>
      <c r="M56" s="48"/>
      <c r="N56" s="14"/>
      <c r="O56" s="20">
        <f t="shared" si="15"/>
        <v>0</v>
      </c>
      <c r="P56" s="39">
        <v>0.2</v>
      </c>
      <c r="Q56" s="20">
        <f t="shared" si="5"/>
        <v>0</v>
      </c>
      <c r="R56" s="20">
        <f t="shared" si="6"/>
        <v>0</v>
      </c>
      <c r="S56" s="14">
        <f>G56*13.5</f>
        <v>202.5</v>
      </c>
      <c r="T56" s="14">
        <f>G56*8</f>
        <v>120</v>
      </c>
      <c r="U56" s="14">
        <f t="shared" si="2"/>
        <v>322.5</v>
      </c>
    </row>
    <row r="57" spans="1:21" s="7" customFormat="1" x14ac:dyDescent="0.3">
      <c r="A57" s="33" t="s">
        <v>46</v>
      </c>
      <c r="B57" s="36" t="s">
        <v>0</v>
      </c>
      <c r="C57" s="5">
        <v>65000</v>
      </c>
      <c r="D57" s="2">
        <f t="shared" si="0"/>
        <v>1950000</v>
      </c>
      <c r="E57" s="38" t="s">
        <v>114</v>
      </c>
      <c r="F57" s="47" t="s">
        <v>81</v>
      </c>
      <c r="G57" s="16">
        <v>40</v>
      </c>
      <c r="H57" s="36">
        <v>1</v>
      </c>
      <c r="I57" s="36">
        <f>H57*15</f>
        <v>15</v>
      </c>
      <c r="J57" s="37">
        <v>44562</v>
      </c>
      <c r="K57" s="37">
        <v>44926</v>
      </c>
      <c r="L57" s="47">
        <f t="shared" si="1"/>
        <v>1</v>
      </c>
      <c r="M57" s="48"/>
      <c r="N57" s="14"/>
      <c r="O57" s="20">
        <f t="shared" si="15"/>
        <v>0</v>
      </c>
      <c r="P57" s="39">
        <v>0.2</v>
      </c>
      <c r="Q57" s="20">
        <f t="shared" si="5"/>
        <v>0</v>
      </c>
      <c r="R57" s="20">
        <f t="shared" si="6"/>
        <v>0</v>
      </c>
      <c r="S57" s="14">
        <f>G57*13.5</f>
        <v>540</v>
      </c>
      <c r="T57" s="14">
        <f>G57*8</f>
        <v>320</v>
      </c>
      <c r="U57" s="14">
        <f t="shared" si="2"/>
        <v>860</v>
      </c>
    </row>
    <row r="58" spans="1:21" s="7" customFormat="1" x14ac:dyDescent="0.3">
      <c r="A58" s="33" t="s">
        <v>46</v>
      </c>
      <c r="B58" s="36" t="s">
        <v>0</v>
      </c>
      <c r="C58" s="5">
        <v>65000</v>
      </c>
      <c r="D58" s="2">
        <f t="shared" ref="D58" si="16">C58*30</f>
        <v>1950000</v>
      </c>
      <c r="E58" s="38" t="s">
        <v>109</v>
      </c>
      <c r="F58" s="19" t="s">
        <v>303</v>
      </c>
      <c r="G58" s="16">
        <v>18</v>
      </c>
      <c r="H58" s="16">
        <v>6</v>
      </c>
      <c r="I58" s="16">
        <f>H58</f>
        <v>6</v>
      </c>
      <c r="J58" s="37">
        <v>44562</v>
      </c>
      <c r="K58" s="37">
        <v>44926</v>
      </c>
      <c r="L58" s="47">
        <f t="shared" ref="L58" si="17">D$4</f>
        <v>1</v>
      </c>
      <c r="M58" s="48"/>
      <c r="N58" s="14"/>
      <c r="O58" s="20">
        <f t="shared" ref="O58" si="18">H58*L58*M58</f>
        <v>0</v>
      </c>
      <c r="P58" s="39">
        <v>0.2</v>
      </c>
      <c r="Q58" s="20">
        <f t="shared" ref="Q58" si="19">M58-M58*P58</f>
        <v>0</v>
      </c>
      <c r="R58" s="20">
        <f t="shared" ref="R58" si="20">O58-O58*P58</f>
        <v>0</v>
      </c>
      <c r="S58" s="14">
        <f>H58*121.5</f>
        <v>729</v>
      </c>
      <c r="T58" s="14">
        <f>H58*150</f>
        <v>900</v>
      </c>
      <c r="U58" s="14">
        <f t="shared" si="2"/>
        <v>1629</v>
      </c>
    </row>
    <row r="59" spans="1:21" s="7" customFormat="1" x14ac:dyDescent="0.3">
      <c r="A59" s="33" t="s">
        <v>46</v>
      </c>
      <c r="B59" s="36" t="s">
        <v>0</v>
      </c>
      <c r="C59" s="5">
        <v>65000</v>
      </c>
      <c r="D59" s="2">
        <f t="shared" si="0"/>
        <v>1950000</v>
      </c>
      <c r="E59" s="38" t="s">
        <v>109</v>
      </c>
      <c r="F59" s="19" t="s">
        <v>304</v>
      </c>
      <c r="G59" s="16">
        <v>18</v>
      </c>
      <c r="H59" s="16">
        <v>6</v>
      </c>
      <c r="I59" s="16">
        <f>H59</f>
        <v>6</v>
      </c>
      <c r="J59" s="37">
        <v>44562</v>
      </c>
      <c r="K59" s="37">
        <v>44926</v>
      </c>
      <c r="L59" s="47">
        <f t="shared" si="1"/>
        <v>1</v>
      </c>
      <c r="M59" s="48"/>
      <c r="N59" s="14"/>
      <c r="O59" s="20">
        <f t="shared" si="15"/>
        <v>0</v>
      </c>
      <c r="P59" s="39">
        <v>0.2</v>
      </c>
      <c r="Q59" s="20">
        <f t="shared" si="5"/>
        <v>0</v>
      </c>
      <c r="R59" s="20">
        <f t="shared" si="6"/>
        <v>0</v>
      </c>
      <c r="S59" s="14">
        <f>H59*121.5</f>
        <v>729</v>
      </c>
      <c r="T59" s="14">
        <f>H59*150</f>
        <v>900</v>
      </c>
      <c r="U59" s="14">
        <f t="shared" si="2"/>
        <v>1629</v>
      </c>
    </row>
    <row r="60" spans="1:21" s="7" customFormat="1" x14ac:dyDescent="0.3">
      <c r="A60" s="33" t="s">
        <v>46</v>
      </c>
      <c r="B60" s="36" t="s">
        <v>0</v>
      </c>
      <c r="C60" s="5">
        <v>65000</v>
      </c>
      <c r="D60" s="2">
        <f t="shared" si="0"/>
        <v>1950000</v>
      </c>
      <c r="E60" s="38" t="s">
        <v>84</v>
      </c>
      <c r="F60" s="19" t="s">
        <v>121</v>
      </c>
      <c r="G60" s="16">
        <v>45</v>
      </c>
      <c r="H60" s="16">
        <v>1</v>
      </c>
      <c r="I60" s="16">
        <f>H60</f>
        <v>1</v>
      </c>
      <c r="J60" s="37">
        <v>44562</v>
      </c>
      <c r="K60" s="37">
        <v>44926</v>
      </c>
      <c r="L60" s="47">
        <f t="shared" si="1"/>
        <v>1</v>
      </c>
      <c r="M60" s="48"/>
      <c r="N60" s="14"/>
      <c r="O60" s="20">
        <f t="shared" si="15"/>
        <v>0</v>
      </c>
      <c r="P60" s="39">
        <v>0.2</v>
      </c>
      <c r="Q60" s="20">
        <f>M60-M60*P60</f>
        <v>0</v>
      </c>
      <c r="R60" s="20">
        <f>O60-O60*P60</f>
        <v>0</v>
      </c>
      <c r="S60" s="14">
        <f>H60*423</f>
        <v>423</v>
      </c>
      <c r="T60" s="14">
        <f>H60*392</f>
        <v>392</v>
      </c>
      <c r="U60" s="14">
        <f t="shared" si="2"/>
        <v>815</v>
      </c>
    </row>
    <row r="61" spans="1:21" s="7" customFormat="1" x14ac:dyDescent="0.3">
      <c r="A61" s="33" t="s">
        <v>46</v>
      </c>
      <c r="B61" s="36" t="s">
        <v>0</v>
      </c>
      <c r="C61" s="5">
        <v>65000</v>
      </c>
      <c r="D61" s="2">
        <f t="shared" si="0"/>
        <v>1950000</v>
      </c>
      <c r="E61" s="38" t="s">
        <v>144</v>
      </c>
      <c r="F61" s="19" t="s">
        <v>122</v>
      </c>
      <c r="G61" s="16">
        <v>585</v>
      </c>
      <c r="H61" s="16">
        <v>1</v>
      </c>
      <c r="I61" s="16">
        <f t="shared" ref="I61:I78" si="21">H61</f>
        <v>1</v>
      </c>
      <c r="J61" s="37">
        <v>44562</v>
      </c>
      <c r="K61" s="37">
        <v>44926</v>
      </c>
      <c r="L61" s="47">
        <f t="shared" si="1"/>
        <v>1</v>
      </c>
      <c r="M61" s="48"/>
      <c r="N61" s="14"/>
      <c r="O61" s="20">
        <f t="shared" si="15"/>
        <v>0</v>
      </c>
      <c r="P61" s="39">
        <v>0.2</v>
      </c>
      <c r="Q61" s="20">
        <f t="shared" ref="Q61:Q84" si="22">M61-M61*P61</f>
        <v>0</v>
      </c>
      <c r="R61" s="20">
        <f t="shared" ref="R61:R84" si="23">O61-O61*P61</f>
        <v>0</v>
      </c>
      <c r="S61" s="14">
        <f>H61*3213.1</f>
        <v>3213.1</v>
      </c>
      <c r="T61" s="14">
        <f>H61*2628.9</f>
        <v>2628.9</v>
      </c>
      <c r="U61" s="14">
        <f t="shared" si="2"/>
        <v>5842</v>
      </c>
    </row>
    <row r="62" spans="1:21" s="7" customFormat="1" x14ac:dyDescent="0.3">
      <c r="A62" s="33" t="s">
        <v>46</v>
      </c>
      <c r="B62" s="36" t="s">
        <v>0</v>
      </c>
      <c r="C62" s="5">
        <v>65000</v>
      </c>
      <c r="D62" s="2">
        <f t="shared" si="0"/>
        <v>1950000</v>
      </c>
      <c r="E62" s="38" t="s">
        <v>107</v>
      </c>
      <c r="F62" s="47" t="s">
        <v>108</v>
      </c>
      <c r="G62" s="16">
        <v>80</v>
      </c>
      <c r="H62" s="16">
        <v>1</v>
      </c>
      <c r="I62" s="16">
        <f>2</f>
        <v>2</v>
      </c>
      <c r="J62" s="37">
        <v>44562</v>
      </c>
      <c r="K62" s="37">
        <v>44926</v>
      </c>
      <c r="L62" s="47">
        <f t="shared" si="1"/>
        <v>1</v>
      </c>
      <c r="M62" s="48"/>
      <c r="N62" s="14"/>
      <c r="O62" s="20">
        <f t="shared" si="15"/>
        <v>0</v>
      </c>
      <c r="P62" s="39">
        <v>0.2</v>
      </c>
      <c r="Q62" s="20">
        <f t="shared" si="22"/>
        <v>0</v>
      </c>
      <c r="R62" s="20">
        <f t="shared" si="23"/>
        <v>0</v>
      </c>
      <c r="S62" s="14">
        <f>G62*8</f>
        <v>640</v>
      </c>
      <c r="T62" s="14">
        <f>G62*10</f>
        <v>800</v>
      </c>
      <c r="U62" s="14">
        <f t="shared" si="2"/>
        <v>1440</v>
      </c>
    </row>
    <row r="63" spans="1:21" s="7" customFormat="1" x14ac:dyDescent="0.3">
      <c r="A63" s="33" t="s">
        <v>46</v>
      </c>
      <c r="B63" s="36" t="s">
        <v>0</v>
      </c>
      <c r="C63" s="5">
        <v>65000</v>
      </c>
      <c r="D63" s="2">
        <f t="shared" si="0"/>
        <v>1950000</v>
      </c>
      <c r="E63" s="38" t="s">
        <v>142</v>
      </c>
      <c r="F63" s="19" t="s">
        <v>123</v>
      </c>
      <c r="G63" s="16">
        <v>4.0999999999999996</v>
      </c>
      <c r="H63" s="16">
        <v>20</v>
      </c>
      <c r="I63" s="16">
        <f t="shared" si="21"/>
        <v>20</v>
      </c>
      <c r="J63" s="37">
        <v>44562</v>
      </c>
      <c r="K63" s="37">
        <v>44926</v>
      </c>
      <c r="L63" s="47">
        <f t="shared" si="1"/>
        <v>1</v>
      </c>
      <c r="M63" s="48"/>
      <c r="N63" s="14"/>
      <c r="O63" s="20">
        <f t="shared" si="15"/>
        <v>0</v>
      </c>
      <c r="P63" s="39">
        <v>0.2</v>
      </c>
      <c r="Q63" s="20">
        <f t="shared" si="22"/>
        <v>0</v>
      </c>
      <c r="R63" s="20">
        <f t="shared" si="23"/>
        <v>0</v>
      </c>
      <c r="S63" s="14">
        <f>H63*65</f>
        <v>1300</v>
      </c>
      <c r="T63" s="14">
        <f>H63*30</f>
        <v>600</v>
      </c>
      <c r="U63" s="14">
        <f t="shared" si="2"/>
        <v>1900</v>
      </c>
    </row>
    <row r="64" spans="1:21" s="7" customFormat="1" x14ac:dyDescent="0.3">
      <c r="A64" s="33" t="s">
        <v>46</v>
      </c>
      <c r="B64" s="36" t="s">
        <v>0</v>
      </c>
      <c r="C64" s="5">
        <v>65000</v>
      </c>
      <c r="D64" s="2">
        <f t="shared" si="0"/>
        <v>1950000</v>
      </c>
      <c r="E64" s="38" t="s">
        <v>133</v>
      </c>
      <c r="F64" s="19" t="s">
        <v>182</v>
      </c>
      <c r="G64" s="16">
        <v>18</v>
      </c>
      <c r="H64" s="16">
        <v>1</v>
      </c>
      <c r="I64" s="16">
        <v>1</v>
      </c>
      <c r="J64" s="37">
        <v>44562</v>
      </c>
      <c r="K64" s="37">
        <v>44926</v>
      </c>
      <c r="L64" s="47">
        <f t="shared" si="1"/>
        <v>1</v>
      </c>
      <c r="M64" s="48"/>
      <c r="N64" s="14"/>
      <c r="O64" s="20">
        <f t="shared" si="15"/>
        <v>0</v>
      </c>
      <c r="P64" s="39">
        <v>0.2</v>
      </c>
      <c r="Q64" s="20">
        <f t="shared" si="22"/>
        <v>0</v>
      </c>
      <c r="R64" s="20">
        <f t="shared" si="23"/>
        <v>0</v>
      </c>
      <c r="S64" s="14">
        <f>G64*8</f>
        <v>144</v>
      </c>
      <c r="T64" s="14">
        <f>G64*8</f>
        <v>144</v>
      </c>
      <c r="U64" s="14">
        <f t="shared" si="2"/>
        <v>288</v>
      </c>
    </row>
    <row r="65" spans="1:21" s="7" customFormat="1" x14ac:dyDescent="0.3">
      <c r="A65" s="33" t="s">
        <v>46</v>
      </c>
      <c r="B65" s="36" t="s">
        <v>0</v>
      </c>
      <c r="C65" s="5">
        <v>65000</v>
      </c>
      <c r="D65" s="2">
        <f t="shared" si="0"/>
        <v>1950000</v>
      </c>
      <c r="E65" s="38" t="s">
        <v>93</v>
      </c>
      <c r="F65" s="47" t="s">
        <v>124</v>
      </c>
      <c r="G65" s="40">
        <v>132</v>
      </c>
      <c r="H65" s="16">
        <v>1</v>
      </c>
      <c r="I65" s="16">
        <v>4</v>
      </c>
      <c r="J65" s="37">
        <v>44562</v>
      </c>
      <c r="K65" s="37">
        <v>44926</v>
      </c>
      <c r="L65" s="47">
        <f t="shared" si="1"/>
        <v>1</v>
      </c>
      <c r="M65" s="48"/>
      <c r="N65" s="14"/>
      <c r="O65" s="20">
        <f t="shared" si="15"/>
        <v>0</v>
      </c>
      <c r="P65" s="39">
        <v>0.2</v>
      </c>
      <c r="Q65" s="20">
        <f t="shared" si="22"/>
        <v>0</v>
      </c>
      <c r="R65" s="20">
        <f t="shared" si="23"/>
        <v>0</v>
      </c>
      <c r="S65" s="14">
        <f>1200</f>
        <v>1200</v>
      </c>
      <c r="T65" s="14">
        <f>1800</f>
        <v>1800</v>
      </c>
      <c r="U65" s="14">
        <f t="shared" si="2"/>
        <v>3000</v>
      </c>
    </row>
    <row r="66" spans="1:21" s="7" customFormat="1" x14ac:dyDescent="0.3">
      <c r="A66" s="33" t="s">
        <v>46</v>
      </c>
      <c r="B66" s="36" t="s">
        <v>0</v>
      </c>
      <c r="C66" s="5">
        <v>65000</v>
      </c>
      <c r="D66" s="2">
        <f t="shared" si="0"/>
        <v>1950000</v>
      </c>
      <c r="E66" s="38" t="s">
        <v>93</v>
      </c>
      <c r="F66" s="47" t="s">
        <v>183</v>
      </c>
      <c r="G66" s="16">
        <v>132</v>
      </c>
      <c r="H66" s="16">
        <v>1</v>
      </c>
      <c r="I66" s="16">
        <v>4</v>
      </c>
      <c r="J66" s="37">
        <v>44562</v>
      </c>
      <c r="K66" s="37">
        <v>44926</v>
      </c>
      <c r="L66" s="47">
        <f t="shared" si="1"/>
        <v>1</v>
      </c>
      <c r="M66" s="48"/>
      <c r="N66" s="14"/>
      <c r="O66" s="20">
        <f>H66*L66*M66</f>
        <v>0</v>
      </c>
      <c r="P66" s="39">
        <v>0.2</v>
      </c>
      <c r="Q66" s="20">
        <f>M66-M66*P66</f>
        <v>0</v>
      </c>
      <c r="R66" s="20">
        <f>O66-O66*P66</f>
        <v>0</v>
      </c>
      <c r="S66" s="14">
        <f>1200</f>
        <v>1200</v>
      </c>
      <c r="T66" s="14">
        <f>1800</f>
        <v>1800</v>
      </c>
      <c r="U66" s="14">
        <f t="shared" si="2"/>
        <v>3000</v>
      </c>
    </row>
    <row r="67" spans="1:21" s="7" customFormat="1" x14ac:dyDescent="0.3">
      <c r="A67" s="33" t="s">
        <v>46</v>
      </c>
      <c r="B67" s="36" t="s">
        <v>0</v>
      </c>
      <c r="C67" s="5">
        <v>65000</v>
      </c>
      <c r="D67" s="2">
        <f t="shared" si="0"/>
        <v>1950000</v>
      </c>
      <c r="E67" s="47" t="s">
        <v>85</v>
      </c>
      <c r="F67" s="19" t="s">
        <v>125</v>
      </c>
      <c r="G67" s="16">
        <v>100</v>
      </c>
      <c r="H67" s="16">
        <v>1</v>
      </c>
      <c r="I67" s="16">
        <f t="shared" si="21"/>
        <v>1</v>
      </c>
      <c r="J67" s="37">
        <v>44562</v>
      </c>
      <c r="K67" s="37">
        <v>44926</v>
      </c>
      <c r="L67" s="47">
        <f t="shared" si="1"/>
        <v>1</v>
      </c>
      <c r="M67" s="48"/>
      <c r="N67" s="14"/>
      <c r="O67" s="20">
        <f t="shared" si="15"/>
        <v>0</v>
      </c>
      <c r="P67" s="39">
        <v>0.2</v>
      </c>
      <c r="Q67" s="20">
        <f t="shared" si="22"/>
        <v>0</v>
      </c>
      <c r="R67" s="20">
        <f t="shared" si="23"/>
        <v>0</v>
      </c>
      <c r="S67" s="14">
        <f>G67*13.5</f>
        <v>1350</v>
      </c>
      <c r="T67" s="14">
        <f>G67*8+600</f>
        <v>1400</v>
      </c>
      <c r="U67" s="14">
        <f t="shared" si="2"/>
        <v>2750</v>
      </c>
    </row>
    <row r="68" spans="1:21" s="7" customFormat="1" x14ac:dyDescent="0.3">
      <c r="A68" s="33" t="s">
        <v>46</v>
      </c>
      <c r="B68" s="36" t="s">
        <v>0</v>
      </c>
      <c r="C68" s="5">
        <v>65000</v>
      </c>
      <c r="D68" s="2">
        <f t="shared" si="0"/>
        <v>1950000</v>
      </c>
      <c r="E68" s="38" t="s">
        <v>85</v>
      </c>
      <c r="F68" s="19" t="s">
        <v>126</v>
      </c>
      <c r="G68" s="16">
        <v>100</v>
      </c>
      <c r="H68" s="16">
        <v>1</v>
      </c>
      <c r="I68" s="16">
        <f t="shared" si="21"/>
        <v>1</v>
      </c>
      <c r="J68" s="37">
        <v>44562</v>
      </c>
      <c r="K68" s="37">
        <v>44926</v>
      </c>
      <c r="L68" s="47">
        <f t="shared" si="1"/>
        <v>1</v>
      </c>
      <c r="M68" s="48"/>
      <c r="N68" s="14"/>
      <c r="O68" s="20">
        <f t="shared" si="15"/>
        <v>0</v>
      </c>
      <c r="P68" s="39">
        <v>0.2</v>
      </c>
      <c r="Q68" s="20">
        <f t="shared" si="22"/>
        <v>0</v>
      </c>
      <c r="R68" s="20">
        <f t="shared" si="23"/>
        <v>0</v>
      </c>
      <c r="S68" s="14">
        <f>G68*13.5</f>
        <v>1350</v>
      </c>
      <c r="T68" s="14">
        <f>G68*8+600</f>
        <v>1400</v>
      </c>
      <c r="U68" s="14">
        <f t="shared" si="2"/>
        <v>2750</v>
      </c>
    </row>
    <row r="69" spans="1:21" s="7" customFormat="1" x14ac:dyDescent="0.3">
      <c r="A69" s="33" t="s">
        <v>46</v>
      </c>
      <c r="B69" s="36" t="s">
        <v>0</v>
      </c>
      <c r="C69" s="5">
        <v>65000</v>
      </c>
      <c r="D69" s="2">
        <f t="shared" si="0"/>
        <v>1950000</v>
      </c>
      <c r="E69" s="47" t="s">
        <v>85</v>
      </c>
      <c r="F69" s="19" t="s">
        <v>127</v>
      </c>
      <c r="G69" s="16">
        <v>100</v>
      </c>
      <c r="H69" s="16">
        <v>1</v>
      </c>
      <c r="I69" s="16">
        <f t="shared" si="21"/>
        <v>1</v>
      </c>
      <c r="J69" s="37">
        <v>44562</v>
      </c>
      <c r="K69" s="37">
        <v>44926</v>
      </c>
      <c r="L69" s="47">
        <f t="shared" si="1"/>
        <v>1</v>
      </c>
      <c r="M69" s="48"/>
      <c r="N69" s="14"/>
      <c r="O69" s="20">
        <f t="shared" si="15"/>
        <v>0</v>
      </c>
      <c r="P69" s="39">
        <v>0.2</v>
      </c>
      <c r="Q69" s="20">
        <f t="shared" si="22"/>
        <v>0</v>
      </c>
      <c r="R69" s="20">
        <f t="shared" si="23"/>
        <v>0</v>
      </c>
      <c r="S69" s="14">
        <f>G69*13.5</f>
        <v>1350</v>
      </c>
      <c r="T69" s="14">
        <f>G69*8+600</f>
        <v>1400</v>
      </c>
      <c r="U69" s="14">
        <f t="shared" si="2"/>
        <v>2750</v>
      </c>
    </row>
    <row r="70" spans="1:21" s="7" customFormat="1" x14ac:dyDescent="0.3">
      <c r="A70" s="33" t="s">
        <v>46</v>
      </c>
      <c r="B70" s="36" t="s">
        <v>0</v>
      </c>
      <c r="C70" s="5">
        <v>65000</v>
      </c>
      <c r="D70" s="2">
        <f t="shared" si="0"/>
        <v>1950000</v>
      </c>
      <c r="E70" s="47" t="s">
        <v>85</v>
      </c>
      <c r="F70" s="19" t="s">
        <v>128</v>
      </c>
      <c r="G70" s="16">
        <v>100</v>
      </c>
      <c r="H70" s="16">
        <v>1</v>
      </c>
      <c r="I70" s="16">
        <f t="shared" si="21"/>
        <v>1</v>
      </c>
      <c r="J70" s="37">
        <v>44562</v>
      </c>
      <c r="K70" s="37">
        <v>44926</v>
      </c>
      <c r="L70" s="47">
        <f t="shared" si="1"/>
        <v>1</v>
      </c>
      <c r="M70" s="48"/>
      <c r="N70" s="14"/>
      <c r="O70" s="20">
        <f t="shared" si="15"/>
        <v>0</v>
      </c>
      <c r="P70" s="39">
        <v>0.2</v>
      </c>
      <c r="Q70" s="20">
        <f t="shared" si="22"/>
        <v>0</v>
      </c>
      <c r="R70" s="20">
        <f t="shared" si="23"/>
        <v>0</v>
      </c>
      <c r="S70" s="14">
        <f>G70*13.5</f>
        <v>1350</v>
      </c>
      <c r="T70" s="14">
        <f>G70*8+600</f>
        <v>1400</v>
      </c>
      <c r="U70" s="14">
        <f t="shared" si="2"/>
        <v>2750</v>
      </c>
    </row>
    <row r="71" spans="1:21" s="7" customFormat="1" x14ac:dyDescent="0.3">
      <c r="A71" s="33" t="s">
        <v>46</v>
      </c>
      <c r="B71" s="36" t="s">
        <v>0</v>
      </c>
      <c r="C71" s="5">
        <v>65000</v>
      </c>
      <c r="D71" s="2">
        <f t="shared" si="0"/>
        <v>1950000</v>
      </c>
      <c r="E71" s="38" t="s">
        <v>85</v>
      </c>
      <c r="F71" s="19" t="s">
        <v>129</v>
      </c>
      <c r="G71" s="16">
        <v>40</v>
      </c>
      <c r="H71" s="16">
        <v>1</v>
      </c>
      <c r="I71" s="16">
        <v>1</v>
      </c>
      <c r="J71" s="37">
        <v>44562</v>
      </c>
      <c r="K71" s="37">
        <v>44926</v>
      </c>
      <c r="L71" s="47">
        <f t="shared" si="1"/>
        <v>1</v>
      </c>
      <c r="M71" s="48"/>
      <c r="N71" s="14"/>
      <c r="O71" s="20">
        <f t="shared" si="15"/>
        <v>0</v>
      </c>
      <c r="P71" s="39">
        <v>0.2</v>
      </c>
      <c r="Q71" s="20">
        <f t="shared" si="22"/>
        <v>0</v>
      </c>
      <c r="R71" s="20">
        <f t="shared" si="23"/>
        <v>0</v>
      </c>
      <c r="S71" s="14">
        <f>H71*40*13.5</f>
        <v>540</v>
      </c>
      <c r="T71" s="14">
        <f>H71*40*8+600</f>
        <v>920</v>
      </c>
      <c r="U71" s="14">
        <f t="shared" si="2"/>
        <v>1460</v>
      </c>
    </row>
    <row r="72" spans="1:21" s="7" customFormat="1" x14ac:dyDescent="0.3">
      <c r="A72" s="33" t="s">
        <v>46</v>
      </c>
      <c r="B72" s="36" t="s">
        <v>0</v>
      </c>
      <c r="C72" s="5">
        <v>65000</v>
      </c>
      <c r="D72" s="2">
        <f t="shared" si="0"/>
        <v>1950000</v>
      </c>
      <c r="E72" s="38" t="s">
        <v>85</v>
      </c>
      <c r="F72" s="19" t="s">
        <v>130</v>
      </c>
      <c r="G72" s="16">
        <v>40</v>
      </c>
      <c r="H72" s="16">
        <v>1</v>
      </c>
      <c r="I72" s="16">
        <v>1</v>
      </c>
      <c r="J72" s="37">
        <v>44562</v>
      </c>
      <c r="K72" s="37">
        <v>44926</v>
      </c>
      <c r="L72" s="47">
        <f t="shared" si="1"/>
        <v>1</v>
      </c>
      <c r="M72" s="48"/>
      <c r="N72" s="14"/>
      <c r="O72" s="20">
        <f t="shared" si="15"/>
        <v>0</v>
      </c>
      <c r="P72" s="39">
        <v>0.2</v>
      </c>
      <c r="Q72" s="20">
        <f>M72-M72*P72</f>
        <v>0</v>
      </c>
      <c r="R72" s="20">
        <f>O72-O72*P72</f>
        <v>0</v>
      </c>
      <c r="S72" s="14">
        <f>H72*40*13.5</f>
        <v>540</v>
      </c>
      <c r="T72" s="14">
        <f>H72*40*8+600</f>
        <v>920</v>
      </c>
      <c r="U72" s="14">
        <f t="shared" ref="U72:U127" si="24">R72+S72+T72</f>
        <v>1460</v>
      </c>
    </row>
    <row r="73" spans="1:21" s="7" customFormat="1" x14ac:dyDescent="0.3">
      <c r="A73" s="33" t="s">
        <v>46</v>
      </c>
      <c r="B73" s="36" t="s">
        <v>0</v>
      </c>
      <c r="C73" s="5">
        <v>65000</v>
      </c>
      <c r="D73" s="2">
        <f t="shared" si="0"/>
        <v>1950000</v>
      </c>
      <c r="E73" s="47" t="s">
        <v>85</v>
      </c>
      <c r="F73" s="47" t="s">
        <v>131</v>
      </c>
      <c r="G73" s="16">
        <v>40</v>
      </c>
      <c r="H73" s="16">
        <v>1</v>
      </c>
      <c r="I73" s="16">
        <v>1</v>
      </c>
      <c r="J73" s="37">
        <v>44562</v>
      </c>
      <c r="K73" s="37">
        <v>44926</v>
      </c>
      <c r="L73" s="47">
        <f t="shared" ref="L73:L200" si="25">D$4</f>
        <v>1</v>
      </c>
      <c r="M73" s="48"/>
      <c r="N73" s="14"/>
      <c r="O73" s="20">
        <f t="shared" si="15"/>
        <v>0</v>
      </c>
      <c r="P73" s="39">
        <v>0.2</v>
      </c>
      <c r="Q73" s="20">
        <f t="shared" si="22"/>
        <v>0</v>
      </c>
      <c r="R73" s="20">
        <f t="shared" si="23"/>
        <v>0</v>
      </c>
      <c r="S73" s="14">
        <f>H73*40*13.5</f>
        <v>540</v>
      </c>
      <c r="T73" s="14">
        <f>H73*40*8+600</f>
        <v>920</v>
      </c>
      <c r="U73" s="14">
        <f t="shared" si="24"/>
        <v>1460</v>
      </c>
    </row>
    <row r="74" spans="1:21" s="7" customFormat="1" x14ac:dyDescent="0.3">
      <c r="A74" s="33" t="s">
        <v>46</v>
      </c>
      <c r="B74" s="36" t="s">
        <v>0</v>
      </c>
      <c r="C74" s="5">
        <v>65000</v>
      </c>
      <c r="D74" s="2">
        <f t="shared" ref="D74:D189" si="26">C74*30</f>
        <v>1950000</v>
      </c>
      <c r="E74" s="38" t="s">
        <v>85</v>
      </c>
      <c r="F74" s="19" t="s">
        <v>100</v>
      </c>
      <c r="G74" s="16">
        <v>120</v>
      </c>
      <c r="H74" s="16">
        <v>1</v>
      </c>
      <c r="I74" s="16">
        <v>1</v>
      </c>
      <c r="J74" s="37">
        <v>44562</v>
      </c>
      <c r="K74" s="37">
        <v>44926</v>
      </c>
      <c r="L74" s="47">
        <f t="shared" si="25"/>
        <v>1</v>
      </c>
      <c r="M74" s="48"/>
      <c r="N74" s="14"/>
      <c r="O74" s="20">
        <f t="shared" si="15"/>
        <v>0</v>
      </c>
      <c r="P74" s="39">
        <v>0.2</v>
      </c>
      <c r="Q74" s="20">
        <f t="shared" si="22"/>
        <v>0</v>
      </c>
      <c r="R74" s="20">
        <f t="shared" si="23"/>
        <v>0</v>
      </c>
      <c r="S74" s="14">
        <f>G74*13.5</f>
        <v>1620</v>
      </c>
      <c r="T74" s="14">
        <f>G74*8+600</f>
        <v>1560</v>
      </c>
      <c r="U74" s="14">
        <f t="shared" si="24"/>
        <v>3180</v>
      </c>
    </row>
    <row r="75" spans="1:21" s="7" customFormat="1" x14ac:dyDescent="0.3">
      <c r="A75" s="33" t="s">
        <v>46</v>
      </c>
      <c r="B75" s="36" t="s">
        <v>0</v>
      </c>
      <c r="C75" s="5">
        <v>65000</v>
      </c>
      <c r="D75" s="2">
        <f t="shared" si="26"/>
        <v>1950000</v>
      </c>
      <c r="E75" s="38" t="s">
        <v>85</v>
      </c>
      <c r="F75" s="19" t="s">
        <v>101</v>
      </c>
      <c r="G75" s="16">
        <v>120</v>
      </c>
      <c r="H75" s="16">
        <v>1</v>
      </c>
      <c r="I75" s="16">
        <v>1</v>
      </c>
      <c r="J75" s="37">
        <v>44562</v>
      </c>
      <c r="K75" s="37">
        <v>44926</v>
      </c>
      <c r="L75" s="47">
        <f t="shared" si="25"/>
        <v>1</v>
      </c>
      <c r="M75" s="48"/>
      <c r="N75" s="14"/>
      <c r="O75" s="20">
        <f t="shared" si="15"/>
        <v>0</v>
      </c>
      <c r="P75" s="39">
        <v>0.2</v>
      </c>
      <c r="Q75" s="20">
        <f t="shared" si="22"/>
        <v>0</v>
      </c>
      <c r="R75" s="20">
        <f t="shared" si="23"/>
        <v>0</v>
      </c>
      <c r="S75" s="14">
        <f>G75*13.5</f>
        <v>1620</v>
      </c>
      <c r="T75" s="14">
        <f>G75*8+600</f>
        <v>1560</v>
      </c>
      <c r="U75" s="14">
        <f t="shared" si="24"/>
        <v>3180</v>
      </c>
    </row>
    <row r="76" spans="1:21" s="7" customFormat="1" x14ac:dyDescent="0.3">
      <c r="A76" s="33" t="s">
        <v>46</v>
      </c>
      <c r="B76" s="36" t="s">
        <v>0</v>
      </c>
      <c r="C76" s="5">
        <v>65000</v>
      </c>
      <c r="D76" s="2">
        <f t="shared" si="26"/>
        <v>1950000</v>
      </c>
      <c r="E76" s="47" t="s">
        <v>138</v>
      </c>
      <c r="F76" s="19" t="s">
        <v>137</v>
      </c>
      <c r="G76" s="16">
        <v>2.8</v>
      </c>
      <c r="H76" s="16">
        <v>4</v>
      </c>
      <c r="I76" s="16">
        <f t="shared" si="21"/>
        <v>4</v>
      </c>
      <c r="J76" s="37">
        <v>44562</v>
      </c>
      <c r="K76" s="37">
        <v>44926</v>
      </c>
      <c r="L76" s="47">
        <f t="shared" si="25"/>
        <v>1</v>
      </c>
      <c r="M76" s="48"/>
      <c r="N76" s="14"/>
      <c r="O76" s="20">
        <f t="shared" si="15"/>
        <v>0</v>
      </c>
      <c r="P76" s="39">
        <v>0.2</v>
      </c>
      <c r="Q76" s="20">
        <f t="shared" si="22"/>
        <v>0</v>
      </c>
      <c r="R76" s="20">
        <f t="shared" si="23"/>
        <v>0</v>
      </c>
      <c r="S76" s="14">
        <f>H76*50</f>
        <v>200</v>
      </c>
      <c r="T76" s="14">
        <f>H76*20</f>
        <v>80</v>
      </c>
      <c r="U76" s="14">
        <f t="shared" si="24"/>
        <v>280</v>
      </c>
    </row>
    <row r="77" spans="1:21" s="7" customFormat="1" x14ac:dyDescent="0.3">
      <c r="A77" s="33" t="s">
        <v>46</v>
      </c>
      <c r="B77" s="36" t="s">
        <v>0</v>
      </c>
      <c r="C77" s="5">
        <v>65000</v>
      </c>
      <c r="D77" s="2">
        <f t="shared" si="26"/>
        <v>1950000</v>
      </c>
      <c r="E77" s="47" t="s">
        <v>74</v>
      </c>
      <c r="F77" s="19" t="s">
        <v>139</v>
      </c>
      <c r="G77" s="16">
        <v>4</v>
      </c>
      <c r="H77" s="16">
        <v>10</v>
      </c>
      <c r="I77" s="16">
        <f t="shared" si="21"/>
        <v>10</v>
      </c>
      <c r="J77" s="37">
        <v>44562</v>
      </c>
      <c r="K77" s="37">
        <v>44926</v>
      </c>
      <c r="L77" s="47">
        <f t="shared" si="25"/>
        <v>1</v>
      </c>
      <c r="M77" s="48"/>
      <c r="N77" s="14"/>
      <c r="O77" s="20">
        <f>H77*L77*M77</f>
        <v>0</v>
      </c>
      <c r="P77" s="39">
        <v>0.2</v>
      </c>
      <c r="Q77" s="20">
        <f t="shared" si="22"/>
        <v>0</v>
      </c>
      <c r="R77" s="20">
        <f t="shared" si="23"/>
        <v>0</v>
      </c>
      <c r="S77" s="14">
        <f>G77*H77*25</f>
        <v>1000</v>
      </c>
      <c r="T77" s="14">
        <f>G77*H77*15</f>
        <v>600</v>
      </c>
      <c r="U77" s="14">
        <f t="shared" si="24"/>
        <v>1600</v>
      </c>
    </row>
    <row r="78" spans="1:21" s="7" customFormat="1" x14ac:dyDescent="0.3">
      <c r="A78" s="33" t="s">
        <v>46</v>
      </c>
      <c r="B78" s="36" t="s">
        <v>0</v>
      </c>
      <c r="C78" s="5">
        <v>65000</v>
      </c>
      <c r="D78" s="2">
        <f t="shared" si="26"/>
        <v>1950000</v>
      </c>
      <c r="E78" s="47" t="s">
        <v>73</v>
      </c>
      <c r="F78" s="19" t="s">
        <v>139</v>
      </c>
      <c r="G78" s="16">
        <v>20</v>
      </c>
      <c r="H78" s="16">
        <v>2</v>
      </c>
      <c r="I78" s="16">
        <f t="shared" si="21"/>
        <v>2</v>
      </c>
      <c r="J78" s="37">
        <v>44562</v>
      </c>
      <c r="K78" s="37">
        <v>44926</v>
      </c>
      <c r="L78" s="47">
        <f t="shared" si="25"/>
        <v>1</v>
      </c>
      <c r="M78" s="48"/>
      <c r="N78" s="14"/>
      <c r="O78" s="20">
        <f t="shared" si="15"/>
        <v>0</v>
      </c>
      <c r="P78" s="39">
        <v>0.2</v>
      </c>
      <c r="Q78" s="20">
        <f t="shared" si="22"/>
        <v>0</v>
      </c>
      <c r="R78" s="20">
        <f t="shared" si="23"/>
        <v>0</v>
      </c>
      <c r="S78" s="14">
        <f>G78*H78*12</f>
        <v>480</v>
      </c>
      <c r="T78" s="14">
        <f>G78*H78*10</f>
        <v>400</v>
      </c>
      <c r="U78" s="14">
        <f t="shared" si="24"/>
        <v>880</v>
      </c>
    </row>
    <row r="79" spans="1:21" s="7" customFormat="1" x14ac:dyDescent="0.3">
      <c r="A79" s="33" t="s">
        <v>46</v>
      </c>
      <c r="B79" s="36" t="s">
        <v>0</v>
      </c>
      <c r="C79" s="5">
        <v>65000</v>
      </c>
      <c r="D79" s="2">
        <f t="shared" si="26"/>
        <v>1950000</v>
      </c>
      <c r="E79" s="47" t="s">
        <v>151</v>
      </c>
      <c r="F79" s="47" t="s">
        <v>152</v>
      </c>
      <c r="G79" s="16">
        <v>12</v>
      </c>
      <c r="H79" s="16">
        <v>1</v>
      </c>
      <c r="I79" s="16">
        <v>1</v>
      </c>
      <c r="J79" s="37">
        <v>44562</v>
      </c>
      <c r="K79" s="37">
        <v>44926</v>
      </c>
      <c r="L79" s="47">
        <f t="shared" si="25"/>
        <v>1</v>
      </c>
      <c r="M79" s="48"/>
      <c r="N79" s="14"/>
      <c r="O79" s="20">
        <f t="shared" si="15"/>
        <v>0</v>
      </c>
      <c r="P79" s="39">
        <v>0.2</v>
      </c>
      <c r="Q79" s="20">
        <f t="shared" si="22"/>
        <v>0</v>
      </c>
      <c r="R79" s="20">
        <f t="shared" si="23"/>
        <v>0</v>
      </c>
      <c r="S79" s="14">
        <f>G79*H79*13.5</f>
        <v>162</v>
      </c>
      <c r="T79" s="14">
        <f>G79*H79*10</f>
        <v>120</v>
      </c>
      <c r="U79" s="14">
        <f t="shared" si="24"/>
        <v>282</v>
      </c>
    </row>
    <row r="80" spans="1:21" s="7" customFormat="1" x14ac:dyDescent="0.3">
      <c r="A80" s="33" t="s">
        <v>46</v>
      </c>
      <c r="B80" s="36" t="s">
        <v>0</v>
      </c>
      <c r="C80" s="5">
        <v>65000</v>
      </c>
      <c r="D80" s="2">
        <f t="shared" si="26"/>
        <v>1950000</v>
      </c>
      <c r="E80" s="47" t="s">
        <v>3</v>
      </c>
      <c r="F80" s="19" t="s">
        <v>87</v>
      </c>
      <c r="G80" s="16" t="s">
        <v>23</v>
      </c>
      <c r="H80" s="16">
        <v>1</v>
      </c>
      <c r="I80" s="16" t="s">
        <v>136</v>
      </c>
      <c r="J80" s="37">
        <v>44562</v>
      </c>
      <c r="K80" s="37">
        <v>44926</v>
      </c>
      <c r="L80" s="47">
        <f t="shared" si="25"/>
        <v>1</v>
      </c>
      <c r="M80" s="48"/>
      <c r="N80" s="14"/>
      <c r="O80" s="20">
        <f t="shared" si="15"/>
        <v>0</v>
      </c>
      <c r="P80" s="39">
        <v>0.2</v>
      </c>
      <c r="Q80" s="20">
        <f t="shared" si="22"/>
        <v>0</v>
      </c>
      <c r="R80" s="20">
        <f t="shared" si="23"/>
        <v>0</v>
      </c>
      <c r="S80" s="14">
        <v>0</v>
      </c>
      <c r="T80" s="14">
        <v>0</v>
      </c>
      <c r="U80" s="14">
        <f t="shared" si="24"/>
        <v>0</v>
      </c>
    </row>
    <row r="81" spans="1:21" s="7" customFormat="1" x14ac:dyDescent="0.3">
      <c r="A81" s="33" t="s">
        <v>46</v>
      </c>
      <c r="B81" s="36" t="s">
        <v>0</v>
      </c>
      <c r="C81" s="5">
        <v>65000</v>
      </c>
      <c r="D81" s="2">
        <f t="shared" si="26"/>
        <v>1950000</v>
      </c>
      <c r="E81" s="47" t="s">
        <v>1</v>
      </c>
      <c r="F81" s="19" t="s">
        <v>1</v>
      </c>
      <c r="G81" s="16" t="s">
        <v>24</v>
      </c>
      <c r="H81" s="16">
        <v>1</v>
      </c>
      <c r="I81" s="16" t="s">
        <v>136</v>
      </c>
      <c r="J81" s="37">
        <v>44562</v>
      </c>
      <c r="K81" s="37">
        <v>44926</v>
      </c>
      <c r="L81" s="47">
        <f t="shared" si="25"/>
        <v>1</v>
      </c>
      <c r="M81" s="48"/>
      <c r="N81" s="14"/>
      <c r="O81" s="20">
        <f t="shared" si="15"/>
        <v>0</v>
      </c>
      <c r="P81" s="39">
        <v>0.2</v>
      </c>
      <c r="Q81" s="20">
        <f t="shared" si="22"/>
        <v>0</v>
      </c>
      <c r="R81" s="20">
        <f t="shared" si="23"/>
        <v>0</v>
      </c>
      <c r="S81" s="14">
        <v>0</v>
      </c>
      <c r="T81" s="14">
        <v>0</v>
      </c>
      <c r="U81" s="14">
        <f t="shared" si="24"/>
        <v>0</v>
      </c>
    </row>
    <row r="82" spans="1:21" s="7" customFormat="1" x14ac:dyDescent="0.3">
      <c r="A82" s="33" t="s">
        <v>46</v>
      </c>
      <c r="B82" s="36" t="s">
        <v>0</v>
      </c>
      <c r="C82" s="5">
        <v>65000</v>
      </c>
      <c r="D82" s="2">
        <f t="shared" si="26"/>
        <v>1950000</v>
      </c>
      <c r="E82" s="47" t="s">
        <v>1</v>
      </c>
      <c r="F82" s="19" t="s">
        <v>1</v>
      </c>
      <c r="G82" s="16" t="s">
        <v>25</v>
      </c>
      <c r="H82" s="16">
        <v>1</v>
      </c>
      <c r="I82" s="16" t="s">
        <v>136</v>
      </c>
      <c r="J82" s="37">
        <v>44562</v>
      </c>
      <c r="K82" s="37">
        <v>44926</v>
      </c>
      <c r="L82" s="47">
        <f t="shared" si="25"/>
        <v>1</v>
      </c>
      <c r="M82" s="48"/>
      <c r="N82" s="14"/>
      <c r="O82" s="20">
        <f t="shared" si="15"/>
        <v>0</v>
      </c>
      <c r="P82" s="39">
        <v>0.2</v>
      </c>
      <c r="Q82" s="20">
        <f t="shared" si="22"/>
        <v>0</v>
      </c>
      <c r="R82" s="20">
        <f t="shared" si="23"/>
        <v>0</v>
      </c>
      <c r="S82" s="14">
        <v>0</v>
      </c>
      <c r="T82" s="14">
        <v>0</v>
      </c>
      <c r="U82" s="14">
        <f t="shared" si="24"/>
        <v>0</v>
      </c>
    </row>
    <row r="83" spans="1:21" s="7" customFormat="1" x14ac:dyDescent="0.3">
      <c r="A83" s="33" t="s">
        <v>46</v>
      </c>
      <c r="B83" s="36" t="s">
        <v>0</v>
      </c>
      <c r="C83" s="5">
        <v>65000</v>
      </c>
      <c r="D83" s="2">
        <f t="shared" si="26"/>
        <v>1950000</v>
      </c>
      <c r="E83" s="47" t="s">
        <v>1</v>
      </c>
      <c r="F83" s="19" t="s">
        <v>1</v>
      </c>
      <c r="G83" s="16" t="s">
        <v>69</v>
      </c>
      <c r="H83" s="16">
        <v>1</v>
      </c>
      <c r="I83" s="16" t="s">
        <v>136</v>
      </c>
      <c r="J83" s="37">
        <v>44562</v>
      </c>
      <c r="K83" s="37">
        <v>44926</v>
      </c>
      <c r="L83" s="47">
        <f t="shared" si="25"/>
        <v>1</v>
      </c>
      <c r="M83" s="48"/>
      <c r="N83" s="14"/>
      <c r="O83" s="20">
        <f t="shared" si="15"/>
        <v>0</v>
      </c>
      <c r="P83" s="39">
        <v>0.2</v>
      </c>
      <c r="Q83" s="20">
        <f t="shared" si="22"/>
        <v>0</v>
      </c>
      <c r="R83" s="20">
        <f t="shared" si="23"/>
        <v>0</v>
      </c>
      <c r="S83" s="14">
        <v>0</v>
      </c>
      <c r="T83" s="14">
        <v>0</v>
      </c>
      <c r="U83" s="14">
        <f t="shared" si="24"/>
        <v>0</v>
      </c>
    </row>
    <row r="84" spans="1:21" s="7" customFormat="1" x14ac:dyDescent="0.3">
      <c r="A84" s="33" t="s">
        <v>46</v>
      </c>
      <c r="B84" s="36" t="s">
        <v>0</v>
      </c>
      <c r="C84" s="5">
        <v>65000</v>
      </c>
      <c r="D84" s="2">
        <f t="shared" si="26"/>
        <v>1950000</v>
      </c>
      <c r="E84" s="47" t="s">
        <v>1</v>
      </c>
      <c r="F84" s="19" t="s">
        <v>1</v>
      </c>
      <c r="G84" s="16" t="s">
        <v>70</v>
      </c>
      <c r="H84" s="16">
        <v>1</v>
      </c>
      <c r="I84" s="16" t="s">
        <v>136</v>
      </c>
      <c r="J84" s="37">
        <v>44562</v>
      </c>
      <c r="K84" s="37">
        <v>44926</v>
      </c>
      <c r="L84" s="47">
        <f t="shared" si="25"/>
        <v>1</v>
      </c>
      <c r="M84" s="48"/>
      <c r="N84" s="14"/>
      <c r="O84" s="20">
        <f t="shared" si="15"/>
        <v>0</v>
      </c>
      <c r="P84" s="39">
        <v>0.2</v>
      </c>
      <c r="Q84" s="20">
        <f t="shared" si="22"/>
        <v>0</v>
      </c>
      <c r="R84" s="20">
        <f t="shared" si="23"/>
        <v>0</v>
      </c>
      <c r="S84" s="14">
        <v>0</v>
      </c>
      <c r="T84" s="14">
        <v>0</v>
      </c>
      <c r="U84" s="14">
        <f t="shared" si="24"/>
        <v>0</v>
      </c>
    </row>
    <row r="85" spans="1:21" s="7" customFormat="1" x14ac:dyDescent="0.3">
      <c r="A85" s="33" t="s">
        <v>46</v>
      </c>
      <c r="B85" s="36" t="s">
        <v>0</v>
      </c>
      <c r="C85" s="5">
        <v>65000</v>
      </c>
      <c r="D85" s="2">
        <f t="shared" si="26"/>
        <v>1950000</v>
      </c>
      <c r="E85" s="47" t="s">
        <v>27</v>
      </c>
      <c r="F85" s="19" t="s">
        <v>26</v>
      </c>
      <c r="G85" s="16"/>
      <c r="H85" s="16">
        <v>1</v>
      </c>
      <c r="I85" s="16" t="s">
        <v>136</v>
      </c>
      <c r="J85" s="37">
        <v>44562</v>
      </c>
      <c r="K85" s="37">
        <v>44926</v>
      </c>
      <c r="L85" s="47">
        <f t="shared" si="25"/>
        <v>1</v>
      </c>
      <c r="M85" s="48"/>
      <c r="N85" s="14"/>
      <c r="O85" s="20">
        <f t="shared" si="15"/>
        <v>0</v>
      </c>
      <c r="P85" s="39">
        <v>0.2</v>
      </c>
      <c r="Q85" s="20">
        <f>M85-M85*P85</f>
        <v>0</v>
      </c>
      <c r="R85" s="20">
        <f>O85-O85*P85</f>
        <v>0</v>
      </c>
      <c r="S85" s="14">
        <v>0</v>
      </c>
      <c r="T85" s="14">
        <v>0</v>
      </c>
      <c r="U85" s="14">
        <f t="shared" si="24"/>
        <v>0</v>
      </c>
    </row>
    <row r="86" spans="1:21" s="7" customFormat="1" x14ac:dyDescent="0.3">
      <c r="A86" s="33" t="s">
        <v>46</v>
      </c>
      <c r="B86" s="36" t="s">
        <v>0</v>
      </c>
      <c r="C86" s="5">
        <v>65000</v>
      </c>
      <c r="D86" s="2">
        <f t="shared" si="26"/>
        <v>1950000</v>
      </c>
      <c r="E86" s="38" t="s">
        <v>12</v>
      </c>
      <c r="F86" s="19" t="s">
        <v>132</v>
      </c>
      <c r="G86" s="16">
        <v>8</v>
      </c>
      <c r="H86" s="16">
        <v>4</v>
      </c>
      <c r="I86" s="16">
        <f>H86*4</f>
        <v>16</v>
      </c>
      <c r="J86" s="37">
        <v>44562</v>
      </c>
      <c r="K86" s="37">
        <v>44926</v>
      </c>
      <c r="L86" s="47">
        <f t="shared" si="25"/>
        <v>1</v>
      </c>
      <c r="M86" s="48"/>
      <c r="N86" s="14"/>
      <c r="O86" s="20">
        <f t="shared" si="15"/>
        <v>0</v>
      </c>
      <c r="P86" s="39">
        <v>0.2</v>
      </c>
      <c r="Q86" s="20">
        <f>M86-M86*P86</f>
        <v>0</v>
      </c>
      <c r="R86" s="20">
        <f>O86-O86*P86</f>
        <v>0</v>
      </c>
      <c r="S86" s="14">
        <f>H86*125</f>
        <v>500</v>
      </c>
      <c r="T86" s="14">
        <f>H86*150</f>
        <v>600</v>
      </c>
      <c r="U86" s="14">
        <f t="shared" si="24"/>
        <v>1100</v>
      </c>
    </row>
    <row r="87" spans="1:21" s="7" customFormat="1" x14ac:dyDescent="0.3">
      <c r="A87" s="33" t="s">
        <v>46</v>
      </c>
      <c r="B87" s="36" t="s">
        <v>0</v>
      </c>
      <c r="C87" s="5">
        <v>65000</v>
      </c>
      <c r="D87" s="2">
        <f t="shared" si="26"/>
        <v>1950000</v>
      </c>
      <c r="E87" s="38" t="s">
        <v>22</v>
      </c>
      <c r="F87" s="19" t="s">
        <v>68</v>
      </c>
      <c r="G87" s="16" t="s">
        <v>15</v>
      </c>
      <c r="H87" s="16">
        <v>4</v>
      </c>
      <c r="I87" s="16">
        <f>H87*2</f>
        <v>8</v>
      </c>
      <c r="J87" s="37">
        <v>44562</v>
      </c>
      <c r="K87" s="37">
        <v>44926</v>
      </c>
      <c r="L87" s="47">
        <f t="shared" si="25"/>
        <v>1</v>
      </c>
      <c r="M87" s="48"/>
      <c r="N87" s="14"/>
      <c r="O87" s="20">
        <f t="shared" si="15"/>
        <v>0</v>
      </c>
      <c r="P87" s="39">
        <v>0.2</v>
      </c>
      <c r="Q87" s="20">
        <f t="shared" ref="Q87:Q180" si="27">M87-M87*P87</f>
        <v>0</v>
      </c>
      <c r="R87" s="20">
        <f t="shared" ref="R87:R200" si="28">O87-O87*P87</f>
        <v>0</v>
      </c>
      <c r="S87" s="14">
        <f>H87*60</f>
        <v>240</v>
      </c>
      <c r="T87" s="14">
        <f>H87*150</f>
        <v>600</v>
      </c>
      <c r="U87" s="14">
        <f t="shared" si="24"/>
        <v>840</v>
      </c>
    </row>
    <row r="88" spans="1:21" s="18" customFormat="1" x14ac:dyDescent="0.3">
      <c r="A88" s="33" t="s">
        <v>46</v>
      </c>
      <c r="B88" s="33" t="s">
        <v>0</v>
      </c>
      <c r="C88" s="52">
        <v>65000</v>
      </c>
      <c r="D88" s="51">
        <f t="shared" si="26"/>
        <v>1950000</v>
      </c>
      <c r="E88" s="15" t="s">
        <v>305</v>
      </c>
      <c r="F88" s="47" t="s">
        <v>306</v>
      </c>
      <c r="G88" s="47" t="s">
        <v>307</v>
      </c>
      <c r="H88" s="47">
        <v>1</v>
      </c>
      <c r="I88" s="47">
        <v>1</v>
      </c>
      <c r="J88" s="37">
        <v>44562</v>
      </c>
      <c r="K88" s="37">
        <v>44926</v>
      </c>
      <c r="L88" s="47">
        <f t="shared" si="25"/>
        <v>1</v>
      </c>
      <c r="M88" s="48"/>
      <c r="N88" s="20"/>
      <c r="O88" s="20">
        <f t="shared" si="15"/>
        <v>0</v>
      </c>
      <c r="P88" s="39">
        <v>0.2</v>
      </c>
      <c r="Q88" s="20">
        <f t="shared" si="27"/>
        <v>0</v>
      </c>
      <c r="R88" s="20">
        <f t="shared" si="28"/>
        <v>0</v>
      </c>
      <c r="S88" s="20">
        <f>H88*150</f>
        <v>150</v>
      </c>
      <c r="T88" s="20">
        <f>H88*200</f>
        <v>200</v>
      </c>
      <c r="U88" s="14">
        <f t="shared" si="24"/>
        <v>350</v>
      </c>
    </row>
    <row r="89" spans="1:21" s="18" customFormat="1" x14ac:dyDescent="0.3">
      <c r="A89" s="33" t="s">
        <v>46</v>
      </c>
      <c r="B89" s="33" t="s">
        <v>0</v>
      </c>
      <c r="C89" s="52">
        <v>65000</v>
      </c>
      <c r="D89" s="51">
        <f t="shared" si="26"/>
        <v>1950000</v>
      </c>
      <c r="E89" s="15" t="s">
        <v>305</v>
      </c>
      <c r="F89" s="47" t="s">
        <v>308</v>
      </c>
      <c r="G89" s="47" t="s">
        <v>307</v>
      </c>
      <c r="H89" s="47">
        <v>1</v>
      </c>
      <c r="I89" s="47">
        <v>1</v>
      </c>
      <c r="J89" s="37">
        <v>44562</v>
      </c>
      <c r="K89" s="37">
        <v>44926</v>
      </c>
      <c r="L89" s="47">
        <f t="shared" si="25"/>
        <v>1</v>
      </c>
      <c r="M89" s="48"/>
      <c r="N89" s="20"/>
      <c r="O89" s="20">
        <f t="shared" si="15"/>
        <v>0</v>
      </c>
      <c r="P89" s="39">
        <v>0.2</v>
      </c>
      <c r="Q89" s="20">
        <f t="shared" si="27"/>
        <v>0</v>
      </c>
      <c r="R89" s="20">
        <f t="shared" si="28"/>
        <v>0</v>
      </c>
      <c r="S89" s="20">
        <f>H89*150</f>
        <v>150</v>
      </c>
      <c r="T89" s="20">
        <f>H89*200</f>
        <v>200</v>
      </c>
      <c r="U89" s="14">
        <f t="shared" si="24"/>
        <v>350</v>
      </c>
    </row>
    <row r="90" spans="1:21" s="7" customFormat="1" x14ac:dyDescent="0.3">
      <c r="A90" s="33" t="s">
        <v>46</v>
      </c>
      <c r="B90" s="36" t="s">
        <v>0</v>
      </c>
      <c r="C90" s="5">
        <v>65000</v>
      </c>
      <c r="D90" s="2">
        <f t="shared" si="26"/>
        <v>1950000</v>
      </c>
      <c r="E90" s="47" t="s">
        <v>90</v>
      </c>
      <c r="F90" s="47" t="s">
        <v>153</v>
      </c>
      <c r="G90" s="16" t="s">
        <v>184</v>
      </c>
      <c r="H90" s="16">
        <v>26</v>
      </c>
      <c r="I90" s="16">
        <f>H90*2</f>
        <v>52</v>
      </c>
      <c r="J90" s="37">
        <v>44562</v>
      </c>
      <c r="K90" s="37">
        <v>44926</v>
      </c>
      <c r="L90" s="47">
        <f t="shared" si="25"/>
        <v>1</v>
      </c>
      <c r="M90" s="48"/>
      <c r="N90" s="14"/>
      <c r="O90" s="20">
        <f t="shared" si="15"/>
        <v>0</v>
      </c>
      <c r="P90" s="39">
        <v>0.2</v>
      </c>
      <c r="Q90" s="20">
        <f t="shared" si="27"/>
        <v>0</v>
      </c>
      <c r="R90" s="20">
        <f t="shared" si="28"/>
        <v>0</v>
      </c>
      <c r="S90" s="14">
        <f>1170</f>
        <v>1170</v>
      </c>
      <c r="T90" s="14">
        <f>624+400</f>
        <v>1024</v>
      </c>
      <c r="U90" s="14">
        <f t="shared" si="24"/>
        <v>2194</v>
      </c>
    </row>
    <row r="91" spans="1:21" s="7" customFormat="1" x14ac:dyDescent="0.3">
      <c r="A91" s="33" t="s">
        <v>46</v>
      </c>
      <c r="B91" s="36" t="s">
        <v>0</v>
      </c>
      <c r="C91" s="5">
        <v>65000</v>
      </c>
      <c r="D91" s="2">
        <f t="shared" si="26"/>
        <v>1950000</v>
      </c>
      <c r="E91" s="47" t="s">
        <v>154</v>
      </c>
      <c r="F91" s="47" t="s">
        <v>154</v>
      </c>
      <c r="G91" s="16" t="s">
        <v>185</v>
      </c>
      <c r="H91" s="16">
        <v>1</v>
      </c>
      <c r="I91" s="16">
        <v>1</v>
      </c>
      <c r="J91" s="37">
        <v>44562</v>
      </c>
      <c r="K91" s="37">
        <v>44926</v>
      </c>
      <c r="L91" s="47">
        <f t="shared" si="25"/>
        <v>1</v>
      </c>
      <c r="M91" s="48"/>
      <c r="N91" s="14"/>
      <c r="O91" s="20">
        <f t="shared" si="15"/>
        <v>0</v>
      </c>
      <c r="P91" s="39">
        <v>0.2</v>
      </c>
      <c r="Q91" s="20">
        <f t="shared" si="27"/>
        <v>0</v>
      </c>
      <c r="R91" s="20">
        <f t="shared" si="28"/>
        <v>0</v>
      </c>
      <c r="S91" s="14">
        <f>H91*60</f>
        <v>60</v>
      </c>
      <c r="T91" s="14">
        <f>H91*100</f>
        <v>100</v>
      </c>
      <c r="U91" s="14">
        <f t="shared" si="24"/>
        <v>160</v>
      </c>
    </row>
    <row r="92" spans="1:21" s="7" customFormat="1" x14ac:dyDescent="0.3">
      <c r="A92" s="33" t="s">
        <v>46</v>
      </c>
      <c r="B92" s="36" t="s">
        <v>0</v>
      </c>
      <c r="C92" s="5">
        <v>65000</v>
      </c>
      <c r="D92" s="2">
        <f t="shared" si="26"/>
        <v>1950000</v>
      </c>
      <c r="E92" s="47" t="s">
        <v>155</v>
      </c>
      <c r="F92" s="47" t="s">
        <v>155</v>
      </c>
      <c r="G92" s="16" t="s">
        <v>186</v>
      </c>
      <c r="H92" s="16">
        <v>3</v>
      </c>
      <c r="I92" s="16">
        <f>H92*2</f>
        <v>6</v>
      </c>
      <c r="J92" s="37">
        <v>44562</v>
      </c>
      <c r="K92" s="37">
        <v>44926</v>
      </c>
      <c r="L92" s="47">
        <f t="shared" si="25"/>
        <v>1</v>
      </c>
      <c r="M92" s="48"/>
      <c r="N92" s="14"/>
      <c r="O92" s="20">
        <f t="shared" si="15"/>
        <v>0</v>
      </c>
      <c r="P92" s="39">
        <v>0.2</v>
      </c>
      <c r="Q92" s="20">
        <f t="shared" si="27"/>
        <v>0</v>
      </c>
      <c r="R92" s="20">
        <f t="shared" si="28"/>
        <v>0</v>
      </c>
      <c r="S92" s="14">
        <f>120*H92</f>
        <v>360</v>
      </c>
      <c r="T92" s="14">
        <f>214*H92</f>
        <v>642</v>
      </c>
      <c r="U92" s="14">
        <f t="shared" si="24"/>
        <v>1002</v>
      </c>
    </row>
    <row r="93" spans="1:21" s="7" customFormat="1" x14ac:dyDescent="0.3">
      <c r="A93" s="33" t="s">
        <v>46</v>
      </c>
      <c r="B93" s="36" t="s">
        <v>0</v>
      </c>
      <c r="C93" s="5">
        <v>65000</v>
      </c>
      <c r="D93" s="2">
        <f t="shared" si="26"/>
        <v>1950000</v>
      </c>
      <c r="E93" s="47" t="s">
        <v>156</v>
      </c>
      <c r="F93" s="47" t="s">
        <v>188</v>
      </c>
      <c r="G93" s="16">
        <v>455</v>
      </c>
      <c r="H93" s="16">
        <v>1</v>
      </c>
      <c r="I93" s="16">
        <v>1</v>
      </c>
      <c r="J93" s="37">
        <v>44562</v>
      </c>
      <c r="K93" s="37">
        <v>44926</v>
      </c>
      <c r="L93" s="47">
        <f t="shared" si="25"/>
        <v>1</v>
      </c>
      <c r="M93" s="48"/>
      <c r="N93" s="14"/>
      <c r="O93" s="20">
        <f t="shared" si="15"/>
        <v>0</v>
      </c>
      <c r="P93" s="39">
        <v>0.2</v>
      </c>
      <c r="Q93" s="20">
        <f t="shared" si="27"/>
        <v>0</v>
      </c>
      <c r="R93" s="20">
        <f t="shared" si="28"/>
        <v>0</v>
      </c>
      <c r="S93" s="14">
        <f>G93*7</f>
        <v>3185</v>
      </c>
      <c r="T93" s="14">
        <f>G93*7</f>
        <v>3185</v>
      </c>
      <c r="U93" s="14">
        <f t="shared" si="24"/>
        <v>6370</v>
      </c>
    </row>
    <row r="94" spans="1:21" s="7" customFormat="1" x14ac:dyDescent="0.3">
      <c r="A94" s="33" t="s">
        <v>46</v>
      </c>
      <c r="B94" s="36" t="s">
        <v>0</v>
      </c>
      <c r="C94" s="5">
        <v>65000</v>
      </c>
      <c r="D94" s="2">
        <f t="shared" si="26"/>
        <v>1950000</v>
      </c>
      <c r="E94" s="47" t="s">
        <v>157</v>
      </c>
      <c r="F94" s="47" t="s">
        <v>158</v>
      </c>
      <c r="G94" s="16">
        <v>36</v>
      </c>
      <c r="H94" s="16">
        <v>1</v>
      </c>
      <c r="I94" s="16">
        <v>4</v>
      </c>
      <c r="J94" s="37">
        <v>44562</v>
      </c>
      <c r="K94" s="37">
        <v>44926</v>
      </c>
      <c r="L94" s="47">
        <f t="shared" si="25"/>
        <v>1</v>
      </c>
      <c r="M94" s="48"/>
      <c r="N94" s="14"/>
      <c r="O94" s="20">
        <f t="shared" si="15"/>
        <v>0</v>
      </c>
      <c r="P94" s="39">
        <v>0.2</v>
      </c>
      <c r="Q94" s="20">
        <f t="shared" si="27"/>
        <v>0</v>
      </c>
      <c r="R94" s="20">
        <f t="shared" si="28"/>
        <v>0</v>
      </c>
      <c r="S94" s="14">
        <f>G94*12.5</f>
        <v>450</v>
      </c>
      <c r="T94" s="14">
        <f>G94*8</f>
        <v>288</v>
      </c>
      <c r="U94" s="14">
        <f t="shared" si="24"/>
        <v>738</v>
      </c>
    </row>
    <row r="95" spans="1:21" s="7" customFormat="1" x14ac:dyDescent="0.3">
      <c r="A95" s="33" t="s">
        <v>46</v>
      </c>
      <c r="B95" s="36" t="s">
        <v>0</v>
      </c>
      <c r="C95" s="5">
        <v>65000</v>
      </c>
      <c r="D95" s="2">
        <f t="shared" si="26"/>
        <v>1950000</v>
      </c>
      <c r="E95" s="47" t="s">
        <v>159</v>
      </c>
      <c r="F95" s="47" t="s">
        <v>160</v>
      </c>
      <c r="G95" s="16" t="s">
        <v>187</v>
      </c>
      <c r="H95" s="16">
        <v>1</v>
      </c>
      <c r="I95" s="16">
        <v>1</v>
      </c>
      <c r="J95" s="37">
        <v>44562</v>
      </c>
      <c r="K95" s="37">
        <v>44926</v>
      </c>
      <c r="L95" s="47">
        <f t="shared" si="25"/>
        <v>1</v>
      </c>
      <c r="M95" s="48"/>
      <c r="N95" s="14"/>
      <c r="O95" s="20">
        <f t="shared" si="15"/>
        <v>0</v>
      </c>
      <c r="P95" s="39">
        <v>0.2</v>
      </c>
      <c r="Q95" s="20">
        <f t="shared" si="27"/>
        <v>0</v>
      </c>
      <c r="R95" s="20">
        <f t="shared" si="28"/>
        <v>0</v>
      </c>
      <c r="S95" s="14">
        <f>8*3*8</f>
        <v>192</v>
      </c>
      <c r="T95" s="14">
        <f>8*3*8</f>
        <v>192</v>
      </c>
      <c r="U95" s="14">
        <f t="shared" si="24"/>
        <v>384</v>
      </c>
    </row>
    <row r="96" spans="1:21" s="7" customFormat="1" x14ac:dyDescent="0.3">
      <c r="A96" s="33" t="s">
        <v>46</v>
      </c>
      <c r="B96" s="36" t="s">
        <v>340</v>
      </c>
      <c r="C96" s="5">
        <v>36000</v>
      </c>
      <c r="D96" s="2">
        <f t="shared" si="26"/>
        <v>1080000</v>
      </c>
      <c r="E96" s="38" t="s">
        <v>337</v>
      </c>
      <c r="F96" s="47" t="s">
        <v>338</v>
      </c>
      <c r="G96" s="16" t="s">
        <v>339</v>
      </c>
      <c r="H96" s="16">
        <v>1</v>
      </c>
      <c r="I96" s="16">
        <f>H96*17</f>
        <v>17</v>
      </c>
      <c r="J96" s="37">
        <v>44562</v>
      </c>
      <c r="K96" s="37">
        <v>44926</v>
      </c>
      <c r="L96" s="47">
        <f t="shared" si="25"/>
        <v>1</v>
      </c>
      <c r="M96" s="48"/>
      <c r="N96" s="14"/>
      <c r="O96" s="20">
        <f t="shared" si="15"/>
        <v>0</v>
      </c>
      <c r="P96" s="39">
        <v>0.2</v>
      </c>
      <c r="Q96" s="20">
        <f t="shared" si="27"/>
        <v>0</v>
      </c>
      <c r="R96" s="20">
        <f t="shared" si="28"/>
        <v>0</v>
      </c>
      <c r="S96" s="14">
        <v>0</v>
      </c>
      <c r="T96" s="14">
        <v>0</v>
      </c>
      <c r="U96" s="14">
        <f t="shared" si="24"/>
        <v>0</v>
      </c>
    </row>
    <row r="97" spans="1:21" s="7" customFormat="1" x14ac:dyDescent="0.3">
      <c r="A97" s="33" t="s">
        <v>46</v>
      </c>
      <c r="B97" s="36" t="s">
        <v>340</v>
      </c>
      <c r="C97" s="5">
        <v>36000</v>
      </c>
      <c r="D97" s="2">
        <f t="shared" ref="D97:D158" si="29">C97*30</f>
        <v>1080000</v>
      </c>
      <c r="E97" s="38" t="s">
        <v>341</v>
      </c>
      <c r="F97" s="47" t="s">
        <v>317</v>
      </c>
      <c r="G97" s="16" t="s">
        <v>342</v>
      </c>
      <c r="H97" s="16">
        <v>1</v>
      </c>
      <c r="I97" s="16">
        <f>H97</f>
        <v>1</v>
      </c>
      <c r="J97" s="37">
        <v>44562</v>
      </c>
      <c r="K97" s="37">
        <v>44926</v>
      </c>
      <c r="L97" s="47">
        <f t="shared" si="25"/>
        <v>1</v>
      </c>
      <c r="M97" s="48"/>
      <c r="N97" s="14"/>
      <c r="O97" s="20">
        <f t="shared" si="15"/>
        <v>0</v>
      </c>
      <c r="P97" s="39">
        <v>0.2</v>
      </c>
      <c r="Q97" s="20">
        <f t="shared" ref="Q97:Q152" si="30">M97-M97*P97</f>
        <v>0</v>
      </c>
      <c r="R97" s="20">
        <f t="shared" ref="R97:R152" si="31">O97-O97*P97</f>
        <v>0</v>
      </c>
      <c r="S97" s="14">
        <f>H97*120</f>
        <v>120</v>
      </c>
      <c r="T97" s="14">
        <f>H97*150</f>
        <v>150</v>
      </c>
      <c r="U97" s="14">
        <f t="shared" si="24"/>
        <v>270</v>
      </c>
    </row>
    <row r="98" spans="1:21" s="7" customFormat="1" x14ac:dyDescent="0.3">
      <c r="A98" s="33" t="s">
        <v>46</v>
      </c>
      <c r="B98" s="36" t="s">
        <v>340</v>
      </c>
      <c r="C98" s="5">
        <v>36000</v>
      </c>
      <c r="D98" s="2">
        <f t="shared" si="29"/>
        <v>1080000</v>
      </c>
      <c r="E98" s="38" t="s">
        <v>343</v>
      </c>
      <c r="F98" s="47" t="s">
        <v>356</v>
      </c>
      <c r="G98" s="16" t="s">
        <v>344</v>
      </c>
      <c r="H98" s="16">
        <v>1</v>
      </c>
      <c r="I98" s="16">
        <f>H98</f>
        <v>1</v>
      </c>
      <c r="J98" s="37">
        <v>44562</v>
      </c>
      <c r="K98" s="37">
        <v>44926</v>
      </c>
      <c r="L98" s="47">
        <f t="shared" si="25"/>
        <v>1</v>
      </c>
      <c r="M98" s="48"/>
      <c r="N98" s="14"/>
      <c r="O98" s="20">
        <f t="shared" si="15"/>
        <v>0</v>
      </c>
      <c r="P98" s="39">
        <v>0.2</v>
      </c>
      <c r="Q98" s="20">
        <f t="shared" si="30"/>
        <v>0</v>
      </c>
      <c r="R98" s="20">
        <f t="shared" si="31"/>
        <v>0</v>
      </c>
      <c r="S98" s="14">
        <f>H98*546</f>
        <v>546</v>
      </c>
      <c r="T98" s="14">
        <f>H98*250</f>
        <v>250</v>
      </c>
      <c r="U98" s="14">
        <f t="shared" si="24"/>
        <v>796</v>
      </c>
    </row>
    <row r="99" spans="1:21" s="7" customFormat="1" x14ac:dyDescent="0.3">
      <c r="A99" s="33" t="s">
        <v>46</v>
      </c>
      <c r="B99" s="36" t="s">
        <v>340</v>
      </c>
      <c r="C99" s="5">
        <v>36000</v>
      </c>
      <c r="D99" s="2">
        <f t="shared" si="29"/>
        <v>1080000</v>
      </c>
      <c r="E99" s="38" t="s">
        <v>345</v>
      </c>
      <c r="F99" s="47" t="s">
        <v>309</v>
      </c>
      <c r="G99" s="16" t="s">
        <v>116</v>
      </c>
      <c r="H99" s="16">
        <v>1</v>
      </c>
      <c r="I99" s="16">
        <f>H99</f>
        <v>1</v>
      </c>
      <c r="J99" s="37">
        <v>44562</v>
      </c>
      <c r="K99" s="37">
        <v>44926</v>
      </c>
      <c r="L99" s="47">
        <f t="shared" si="25"/>
        <v>1</v>
      </c>
      <c r="M99" s="48"/>
      <c r="N99" s="14"/>
      <c r="O99" s="20">
        <f t="shared" si="15"/>
        <v>0</v>
      </c>
      <c r="P99" s="39">
        <v>0.2</v>
      </c>
      <c r="Q99" s="20">
        <f t="shared" si="30"/>
        <v>0</v>
      </c>
      <c r="R99" s="20">
        <f t="shared" si="31"/>
        <v>0</v>
      </c>
      <c r="S99" s="14">
        <f>H99*120</f>
        <v>120</v>
      </c>
      <c r="T99" s="14">
        <f>H99*150</f>
        <v>150</v>
      </c>
      <c r="U99" s="14">
        <f t="shared" si="24"/>
        <v>270</v>
      </c>
    </row>
    <row r="100" spans="1:21" s="7" customFormat="1" x14ac:dyDescent="0.3">
      <c r="A100" s="33" t="s">
        <v>46</v>
      </c>
      <c r="B100" s="36" t="s">
        <v>340</v>
      </c>
      <c r="C100" s="5">
        <v>36000</v>
      </c>
      <c r="D100" s="2">
        <f t="shared" si="29"/>
        <v>1080000</v>
      </c>
      <c r="E100" s="38" t="s">
        <v>347</v>
      </c>
      <c r="F100" s="47" t="s">
        <v>395</v>
      </c>
      <c r="G100" s="16" t="s">
        <v>346</v>
      </c>
      <c r="H100" s="16">
        <v>1</v>
      </c>
      <c r="I100" s="16">
        <f>H100*3</f>
        <v>3</v>
      </c>
      <c r="J100" s="37">
        <v>44562</v>
      </c>
      <c r="K100" s="37">
        <v>44926</v>
      </c>
      <c r="L100" s="47">
        <f t="shared" si="25"/>
        <v>1</v>
      </c>
      <c r="M100" s="48"/>
      <c r="N100" s="14"/>
      <c r="O100" s="20">
        <f t="shared" si="15"/>
        <v>0</v>
      </c>
      <c r="P100" s="39">
        <v>0.2</v>
      </c>
      <c r="Q100" s="20">
        <f t="shared" si="30"/>
        <v>0</v>
      </c>
      <c r="R100" s="20">
        <f t="shared" si="31"/>
        <v>0</v>
      </c>
      <c r="S100" s="14">
        <f>H100*105</f>
        <v>105</v>
      </c>
      <c r="T100" s="14">
        <f>H100*90</f>
        <v>90</v>
      </c>
      <c r="U100" s="14">
        <f t="shared" si="24"/>
        <v>195</v>
      </c>
    </row>
    <row r="101" spans="1:21" s="7" customFormat="1" x14ac:dyDescent="0.3">
      <c r="A101" s="33" t="s">
        <v>46</v>
      </c>
      <c r="B101" s="36" t="s">
        <v>340</v>
      </c>
      <c r="C101" s="5">
        <v>36000</v>
      </c>
      <c r="D101" s="2">
        <f t="shared" si="29"/>
        <v>1080000</v>
      </c>
      <c r="E101" s="38" t="s">
        <v>348</v>
      </c>
      <c r="F101" s="47" t="s">
        <v>349</v>
      </c>
      <c r="G101" s="16">
        <v>100</v>
      </c>
      <c r="H101" s="16">
        <v>1</v>
      </c>
      <c r="I101" s="16">
        <f>H101*4</f>
        <v>4</v>
      </c>
      <c r="J101" s="37">
        <v>44562</v>
      </c>
      <c r="K101" s="37">
        <v>44926</v>
      </c>
      <c r="L101" s="47">
        <f t="shared" si="25"/>
        <v>1</v>
      </c>
      <c r="M101" s="48"/>
      <c r="N101" s="14"/>
      <c r="O101" s="20">
        <f t="shared" si="15"/>
        <v>0</v>
      </c>
      <c r="P101" s="39">
        <v>0.2</v>
      </c>
      <c r="Q101" s="20">
        <f t="shared" si="30"/>
        <v>0</v>
      </c>
      <c r="R101" s="20">
        <f t="shared" si="31"/>
        <v>0</v>
      </c>
      <c r="S101" s="14">
        <f>G101*13.5</f>
        <v>1350</v>
      </c>
      <c r="T101" s="14">
        <f>G101*10</f>
        <v>1000</v>
      </c>
      <c r="U101" s="14">
        <f t="shared" si="24"/>
        <v>2350</v>
      </c>
    </row>
    <row r="102" spans="1:21" s="7" customFormat="1" x14ac:dyDescent="0.3">
      <c r="A102" s="33" t="s">
        <v>46</v>
      </c>
      <c r="B102" s="36" t="s">
        <v>340</v>
      </c>
      <c r="C102" s="5">
        <v>36000</v>
      </c>
      <c r="D102" s="2">
        <f t="shared" si="29"/>
        <v>1080000</v>
      </c>
      <c r="E102" s="38" t="s">
        <v>354</v>
      </c>
      <c r="F102" s="47" t="s">
        <v>351</v>
      </c>
      <c r="G102" s="16">
        <v>100</v>
      </c>
      <c r="H102" s="16">
        <v>1</v>
      </c>
      <c r="I102" s="16">
        <f>H102*5</f>
        <v>5</v>
      </c>
      <c r="J102" s="37">
        <v>44562</v>
      </c>
      <c r="K102" s="37">
        <v>44926</v>
      </c>
      <c r="L102" s="47">
        <f t="shared" si="25"/>
        <v>1</v>
      </c>
      <c r="M102" s="48"/>
      <c r="N102" s="14"/>
      <c r="O102" s="20">
        <f t="shared" si="15"/>
        <v>0</v>
      </c>
      <c r="P102" s="39">
        <v>0.2</v>
      </c>
      <c r="Q102" s="20">
        <f t="shared" si="30"/>
        <v>0</v>
      </c>
      <c r="R102" s="20">
        <f t="shared" si="31"/>
        <v>0</v>
      </c>
      <c r="S102" s="14">
        <f t="shared" ref="S102:S105" si="32">G102*13.5</f>
        <v>1350</v>
      </c>
      <c r="T102" s="14">
        <f t="shared" ref="T102:T105" si="33">G102*10</f>
        <v>1000</v>
      </c>
      <c r="U102" s="14">
        <f t="shared" si="24"/>
        <v>2350</v>
      </c>
    </row>
    <row r="103" spans="1:21" s="7" customFormat="1" x14ac:dyDescent="0.3">
      <c r="A103" s="33" t="s">
        <v>46</v>
      </c>
      <c r="B103" s="36" t="s">
        <v>340</v>
      </c>
      <c r="C103" s="5">
        <v>36000</v>
      </c>
      <c r="D103" s="2">
        <f t="shared" si="29"/>
        <v>1080000</v>
      </c>
      <c r="E103" s="38" t="s">
        <v>348</v>
      </c>
      <c r="F103" s="47" t="s">
        <v>352</v>
      </c>
      <c r="G103" s="16">
        <v>80</v>
      </c>
      <c r="H103" s="16">
        <v>1</v>
      </c>
      <c r="I103" s="16">
        <f>H103*6</f>
        <v>6</v>
      </c>
      <c r="J103" s="37">
        <v>44562</v>
      </c>
      <c r="K103" s="37">
        <v>44926</v>
      </c>
      <c r="L103" s="47">
        <f t="shared" si="25"/>
        <v>1</v>
      </c>
      <c r="M103" s="48"/>
      <c r="N103" s="14"/>
      <c r="O103" s="20">
        <f t="shared" si="15"/>
        <v>0</v>
      </c>
      <c r="P103" s="39">
        <v>0.2</v>
      </c>
      <c r="Q103" s="20">
        <f t="shared" si="30"/>
        <v>0</v>
      </c>
      <c r="R103" s="20">
        <f t="shared" si="31"/>
        <v>0</v>
      </c>
      <c r="S103" s="14">
        <f t="shared" si="32"/>
        <v>1080</v>
      </c>
      <c r="T103" s="14">
        <f t="shared" si="33"/>
        <v>800</v>
      </c>
      <c r="U103" s="14">
        <f t="shared" si="24"/>
        <v>1880</v>
      </c>
    </row>
    <row r="104" spans="1:21" s="7" customFormat="1" x14ac:dyDescent="0.3">
      <c r="A104" s="33" t="s">
        <v>46</v>
      </c>
      <c r="B104" s="36" t="s">
        <v>340</v>
      </c>
      <c r="C104" s="5">
        <v>36000</v>
      </c>
      <c r="D104" s="2">
        <f t="shared" si="29"/>
        <v>1080000</v>
      </c>
      <c r="E104" s="38" t="s">
        <v>236</v>
      </c>
      <c r="F104" s="47" t="s">
        <v>366</v>
      </c>
      <c r="G104" s="16">
        <v>48</v>
      </c>
      <c r="H104" s="16">
        <v>1</v>
      </c>
      <c r="I104" s="16">
        <f>H104*4</f>
        <v>4</v>
      </c>
      <c r="J104" s="37">
        <v>44562</v>
      </c>
      <c r="K104" s="37">
        <v>44926</v>
      </c>
      <c r="L104" s="47">
        <f t="shared" si="25"/>
        <v>1</v>
      </c>
      <c r="M104" s="48"/>
      <c r="N104" s="14"/>
      <c r="O104" s="20">
        <f t="shared" si="15"/>
        <v>0</v>
      </c>
      <c r="P104" s="39">
        <v>0.2</v>
      </c>
      <c r="Q104" s="20">
        <f t="shared" si="30"/>
        <v>0</v>
      </c>
      <c r="R104" s="20">
        <f t="shared" si="31"/>
        <v>0</v>
      </c>
      <c r="S104" s="14">
        <f t="shared" si="32"/>
        <v>648</v>
      </c>
      <c r="T104" s="14">
        <f t="shared" si="33"/>
        <v>480</v>
      </c>
      <c r="U104" s="14">
        <f t="shared" si="24"/>
        <v>1128</v>
      </c>
    </row>
    <row r="105" spans="1:21" s="7" customFormat="1" x14ac:dyDescent="0.3">
      <c r="A105" s="33" t="s">
        <v>46</v>
      </c>
      <c r="B105" s="36" t="s">
        <v>340</v>
      </c>
      <c r="C105" s="5">
        <v>36000</v>
      </c>
      <c r="D105" s="2">
        <f t="shared" si="29"/>
        <v>1080000</v>
      </c>
      <c r="E105" s="38" t="s">
        <v>353</v>
      </c>
      <c r="F105" s="47" t="s">
        <v>310</v>
      </c>
      <c r="G105" s="16">
        <v>96</v>
      </c>
      <c r="H105" s="16">
        <v>1</v>
      </c>
      <c r="I105" s="16">
        <f>H105*8</f>
        <v>8</v>
      </c>
      <c r="J105" s="37">
        <v>44562</v>
      </c>
      <c r="K105" s="37">
        <v>44926</v>
      </c>
      <c r="L105" s="47">
        <f t="shared" si="25"/>
        <v>1</v>
      </c>
      <c r="M105" s="48"/>
      <c r="N105" s="14"/>
      <c r="O105" s="20">
        <f t="shared" si="15"/>
        <v>0</v>
      </c>
      <c r="P105" s="39">
        <v>0.2</v>
      </c>
      <c r="Q105" s="20">
        <f t="shared" si="30"/>
        <v>0</v>
      </c>
      <c r="R105" s="20">
        <f t="shared" si="31"/>
        <v>0</v>
      </c>
      <c r="S105" s="14">
        <f t="shared" si="32"/>
        <v>1296</v>
      </c>
      <c r="T105" s="14">
        <f t="shared" si="33"/>
        <v>960</v>
      </c>
      <c r="U105" s="14">
        <f t="shared" si="24"/>
        <v>2256</v>
      </c>
    </row>
    <row r="106" spans="1:21" s="7" customFormat="1" x14ac:dyDescent="0.3">
      <c r="A106" s="33" t="s">
        <v>46</v>
      </c>
      <c r="B106" s="36" t="s">
        <v>340</v>
      </c>
      <c r="C106" s="5">
        <v>36000</v>
      </c>
      <c r="D106" s="2">
        <f t="shared" si="29"/>
        <v>1080000</v>
      </c>
      <c r="E106" s="38" t="s">
        <v>347</v>
      </c>
      <c r="F106" s="47" t="s">
        <v>396</v>
      </c>
      <c r="G106" s="16" t="s">
        <v>346</v>
      </c>
      <c r="H106" s="16">
        <v>1</v>
      </c>
      <c r="I106" s="16">
        <f>H106*3</f>
        <v>3</v>
      </c>
      <c r="J106" s="37">
        <v>44562</v>
      </c>
      <c r="K106" s="37">
        <v>44926</v>
      </c>
      <c r="L106" s="47">
        <f t="shared" si="25"/>
        <v>1</v>
      </c>
      <c r="M106" s="48"/>
      <c r="N106" s="14"/>
      <c r="O106" s="20">
        <f t="shared" si="15"/>
        <v>0</v>
      </c>
      <c r="P106" s="39">
        <v>0.2</v>
      </c>
      <c r="Q106" s="20">
        <f t="shared" si="30"/>
        <v>0</v>
      </c>
      <c r="R106" s="20">
        <f t="shared" si="31"/>
        <v>0</v>
      </c>
      <c r="S106" s="14">
        <f>H106*105</f>
        <v>105</v>
      </c>
      <c r="T106" s="14">
        <f>H106*90</f>
        <v>90</v>
      </c>
      <c r="U106" s="14">
        <f t="shared" si="24"/>
        <v>195</v>
      </c>
    </row>
    <row r="107" spans="1:21" s="7" customFormat="1" x14ac:dyDescent="0.3">
      <c r="A107" s="33" t="s">
        <v>46</v>
      </c>
      <c r="B107" s="36" t="s">
        <v>340</v>
      </c>
      <c r="C107" s="5">
        <v>36000</v>
      </c>
      <c r="D107" s="2">
        <f t="shared" si="29"/>
        <v>1080000</v>
      </c>
      <c r="E107" s="47" t="s">
        <v>1</v>
      </c>
      <c r="F107" s="47" t="s">
        <v>318</v>
      </c>
      <c r="G107" s="16">
        <v>16</v>
      </c>
      <c r="H107" s="16">
        <v>1</v>
      </c>
      <c r="I107" s="16">
        <f>H107</f>
        <v>1</v>
      </c>
      <c r="J107" s="37">
        <v>44562</v>
      </c>
      <c r="K107" s="37">
        <v>44926</v>
      </c>
      <c r="L107" s="47">
        <f t="shared" si="25"/>
        <v>1</v>
      </c>
      <c r="M107" s="48"/>
      <c r="N107" s="14"/>
      <c r="O107" s="20">
        <f t="shared" si="15"/>
        <v>0</v>
      </c>
      <c r="P107" s="39">
        <v>0.2</v>
      </c>
      <c r="Q107" s="20">
        <f t="shared" si="30"/>
        <v>0</v>
      </c>
      <c r="R107" s="20">
        <f t="shared" si="31"/>
        <v>0</v>
      </c>
      <c r="S107" s="14">
        <v>0</v>
      </c>
      <c r="T107" s="14">
        <v>0</v>
      </c>
      <c r="U107" s="14">
        <f t="shared" si="24"/>
        <v>0</v>
      </c>
    </row>
    <row r="108" spans="1:21" s="7" customFormat="1" x14ac:dyDescent="0.3">
      <c r="A108" s="33" t="s">
        <v>46</v>
      </c>
      <c r="B108" s="36" t="s">
        <v>340</v>
      </c>
      <c r="C108" s="5">
        <v>36000</v>
      </c>
      <c r="D108" s="2">
        <f t="shared" si="29"/>
        <v>1080000</v>
      </c>
      <c r="E108" s="38" t="s">
        <v>343</v>
      </c>
      <c r="F108" s="47" t="s">
        <v>357</v>
      </c>
      <c r="G108" s="16" t="s">
        <v>355</v>
      </c>
      <c r="H108" s="16">
        <v>1</v>
      </c>
      <c r="I108" s="16">
        <f>H108</f>
        <v>1</v>
      </c>
      <c r="J108" s="37">
        <v>44562</v>
      </c>
      <c r="K108" s="37">
        <v>44926</v>
      </c>
      <c r="L108" s="47">
        <f t="shared" si="25"/>
        <v>1</v>
      </c>
      <c r="M108" s="48"/>
      <c r="N108" s="14"/>
      <c r="O108" s="20">
        <f t="shared" si="15"/>
        <v>0</v>
      </c>
      <c r="P108" s="39">
        <v>0.2</v>
      </c>
      <c r="Q108" s="20">
        <f t="shared" si="30"/>
        <v>0</v>
      </c>
      <c r="R108" s="20">
        <f t="shared" si="31"/>
        <v>0</v>
      </c>
      <c r="S108" s="14">
        <f>H108*441</f>
        <v>441</v>
      </c>
      <c r="T108" s="14">
        <f>H108*200</f>
        <v>200</v>
      </c>
      <c r="U108" s="14">
        <f t="shared" si="24"/>
        <v>641</v>
      </c>
    </row>
    <row r="109" spans="1:21" s="7" customFormat="1" x14ac:dyDescent="0.3">
      <c r="A109" s="33" t="s">
        <v>46</v>
      </c>
      <c r="B109" s="36" t="s">
        <v>340</v>
      </c>
      <c r="C109" s="5">
        <v>36000</v>
      </c>
      <c r="D109" s="2">
        <f t="shared" si="29"/>
        <v>1080000</v>
      </c>
      <c r="E109" s="38" t="s">
        <v>358</v>
      </c>
      <c r="F109" s="47" t="s">
        <v>359</v>
      </c>
      <c r="G109" s="16" t="s">
        <v>410</v>
      </c>
      <c r="H109" s="16">
        <v>1</v>
      </c>
      <c r="I109" s="16">
        <f>H109</f>
        <v>1</v>
      </c>
      <c r="J109" s="37">
        <v>44562</v>
      </c>
      <c r="K109" s="37">
        <v>44926</v>
      </c>
      <c r="L109" s="47">
        <f t="shared" si="25"/>
        <v>1</v>
      </c>
      <c r="M109" s="48"/>
      <c r="N109" s="14"/>
      <c r="O109" s="20">
        <f t="shared" si="15"/>
        <v>0</v>
      </c>
      <c r="P109" s="39">
        <v>0.2</v>
      </c>
      <c r="Q109" s="20">
        <f t="shared" si="30"/>
        <v>0</v>
      </c>
      <c r="R109" s="20">
        <f t="shared" si="31"/>
        <v>0</v>
      </c>
      <c r="S109" s="14">
        <f>H109*72</f>
        <v>72</v>
      </c>
      <c r="T109" s="14">
        <f>H109*150</f>
        <v>150</v>
      </c>
      <c r="U109" s="14">
        <f t="shared" si="24"/>
        <v>222</v>
      </c>
    </row>
    <row r="110" spans="1:21" s="7" customFormat="1" x14ac:dyDescent="0.3">
      <c r="A110" s="33" t="s">
        <v>46</v>
      </c>
      <c r="B110" s="36" t="s">
        <v>340</v>
      </c>
      <c r="C110" s="5">
        <v>36000</v>
      </c>
      <c r="D110" s="2">
        <f t="shared" si="29"/>
        <v>1080000</v>
      </c>
      <c r="E110" s="38" t="s">
        <v>360</v>
      </c>
      <c r="F110" s="47" t="s">
        <v>319</v>
      </c>
      <c r="G110" s="16" t="s">
        <v>361</v>
      </c>
      <c r="H110" s="16">
        <v>1</v>
      </c>
      <c r="I110" s="16">
        <f t="shared" ref="I110:I111" si="34">H110</f>
        <v>1</v>
      </c>
      <c r="J110" s="37">
        <v>44562</v>
      </c>
      <c r="K110" s="37">
        <v>44926</v>
      </c>
      <c r="L110" s="47">
        <f t="shared" si="25"/>
        <v>1</v>
      </c>
      <c r="M110" s="48"/>
      <c r="N110" s="14"/>
      <c r="O110" s="20">
        <f t="shared" si="15"/>
        <v>0</v>
      </c>
      <c r="P110" s="39">
        <v>0.2</v>
      </c>
      <c r="Q110" s="20">
        <f t="shared" si="30"/>
        <v>0</v>
      </c>
      <c r="R110" s="20">
        <f t="shared" si="31"/>
        <v>0</v>
      </c>
      <c r="S110" s="14">
        <f>H110*144</f>
        <v>144</v>
      </c>
      <c r="T110" s="14">
        <f>H110*200</f>
        <v>200</v>
      </c>
      <c r="U110" s="14">
        <f t="shared" si="24"/>
        <v>344</v>
      </c>
    </row>
    <row r="111" spans="1:21" s="7" customFormat="1" x14ac:dyDescent="0.3">
      <c r="A111" s="33" t="s">
        <v>46</v>
      </c>
      <c r="B111" s="36" t="s">
        <v>340</v>
      </c>
      <c r="C111" s="5">
        <v>36000</v>
      </c>
      <c r="D111" s="2">
        <f t="shared" si="29"/>
        <v>1080000</v>
      </c>
      <c r="E111" s="38" t="s">
        <v>362</v>
      </c>
      <c r="F111" s="47" t="s">
        <v>319</v>
      </c>
      <c r="G111" s="16" t="s">
        <v>58</v>
      </c>
      <c r="H111" s="16">
        <v>1</v>
      </c>
      <c r="I111" s="16">
        <f t="shared" si="34"/>
        <v>1</v>
      </c>
      <c r="J111" s="37">
        <v>44562</v>
      </c>
      <c r="K111" s="37">
        <v>44926</v>
      </c>
      <c r="L111" s="47">
        <f t="shared" si="25"/>
        <v>1</v>
      </c>
      <c r="M111" s="48"/>
      <c r="N111" s="14"/>
      <c r="O111" s="20">
        <f t="shared" si="15"/>
        <v>0</v>
      </c>
      <c r="P111" s="39">
        <v>0.2</v>
      </c>
      <c r="Q111" s="20">
        <f t="shared" si="30"/>
        <v>0</v>
      </c>
      <c r="R111" s="20">
        <f t="shared" si="31"/>
        <v>0</v>
      </c>
      <c r="S111" s="14">
        <f>H111*72</f>
        <v>72</v>
      </c>
      <c r="T111" s="14">
        <f>H111*150</f>
        <v>150</v>
      </c>
      <c r="U111" s="14">
        <f t="shared" si="24"/>
        <v>222</v>
      </c>
    </row>
    <row r="112" spans="1:21" s="7" customFormat="1" x14ac:dyDescent="0.3">
      <c r="A112" s="33" t="s">
        <v>46</v>
      </c>
      <c r="B112" s="36" t="s">
        <v>340</v>
      </c>
      <c r="C112" s="5">
        <v>36000</v>
      </c>
      <c r="D112" s="2">
        <f t="shared" si="29"/>
        <v>1080000</v>
      </c>
      <c r="E112" s="38" t="s">
        <v>347</v>
      </c>
      <c r="F112" s="47" t="s">
        <v>394</v>
      </c>
      <c r="G112" s="16" t="s">
        <v>346</v>
      </c>
      <c r="H112" s="16">
        <v>1</v>
      </c>
      <c r="I112" s="16">
        <f>H112*3</f>
        <v>3</v>
      </c>
      <c r="J112" s="37">
        <v>44562</v>
      </c>
      <c r="K112" s="37">
        <v>44926</v>
      </c>
      <c r="L112" s="47">
        <f t="shared" si="25"/>
        <v>1</v>
      </c>
      <c r="M112" s="48"/>
      <c r="N112" s="14"/>
      <c r="O112" s="20">
        <f t="shared" si="15"/>
        <v>0</v>
      </c>
      <c r="P112" s="39">
        <v>0.2</v>
      </c>
      <c r="Q112" s="20">
        <f t="shared" si="30"/>
        <v>0</v>
      </c>
      <c r="R112" s="20">
        <f t="shared" si="31"/>
        <v>0</v>
      </c>
      <c r="S112" s="14">
        <f>H112*105</f>
        <v>105</v>
      </c>
      <c r="T112" s="14">
        <f>H112*90</f>
        <v>90</v>
      </c>
      <c r="U112" s="14">
        <f t="shared" si="24"/>
        <v>195</v>
      </c>
    </row>
    <row r="113" spans="1:21" s="7" customFormat="1" x14ac:dyDescent="0.3">
      <c r="A113" s="33" t="s">
        <v>46</v>
      </c>
      <c r="B113" s="36" t="s">
        <v>340</v>
      </c>
      <c r="C113" s="5">
        <v>36000</v>
      </c>
      <c r="D113" s="2">
        <f t="shared" si="29"/>
        <v>1080000</v>
      </c>
      <c r="E113" s="38" t="s">
        <v>354</v>
      </c>
      <c r="F113" s="47" t="s">
        <v>364</v>
      </c>
      <c r="G113" s="16">
        <v>100</v>
      </c>
      <c r="H113" s="16">
        <v>1</v>
      </c>
      <c r="I113" s="16">
        <f>H113*6</f>
        <v>6</v>
      </c>
      <c r="J113" s="37">
        <v>44562</v>
      </c>
      <c r="K113" s="37">
        <v>44926</v>
      </c>
      <c r="L113" s="47">
        <f t="shared" si="25"/>
        <v>1</v>
      </c>
      <c r="M113" s="48"/>
      <c r="N113" s="14"/>
      <c r="O113" s="20">
        <f t="shared" si="15"/>
        <v>0</v>
      </c>
      <c r="P113" s="39">
        <v>0.2</v>
      </c>
      <c r="Q113" s="20">
        <f t="shared" si="30"/>
        <v>0</v>
      </c>
      <c r="R113" s="20">
        <f t="shared" si="31"/>
        <v>0</v>
      </c>
      <c r="S113" s="14">
        <f t="shared" ref="S113:S115" si="35">G113*13.5</f>
        <v>1350</v>
      </c>
      <c r="T113" s="14">
        <f t="shared" ref="T113:T115" si="36">G113*10</f>
        <v>1000</v>
      </c>
      <c r="U113" s="14">
        <f t="shared" si="24"/>
        <v>2350</v>
      </c>
    </row>
    <row r="114" spans="1:21" s="7" customFormat="1" x14ac:dyDescent="0.3">
      <c r="A114" s="33" t="s">
        <v>46</v>
      </c>
      <c r="B114" s="36" t="s">
        <v>340</v>
      </c>
      <c r="C114" s="5">
        <v>36000</v>
      </c>
      <c r="D114" s="2">
        <f t="shared" si="29"/>
        <v>1080000</v>
      </c>
      <c r="E114" s="38" t="s">
        <v>348</v>
      </c>
      <c r="F114" s="47" t="s">
        <v>365</v>
      </c>
      <c r="G114" s="16">
        <v>100</v>
      </c>
      <c r="H114" s="16">
        <v>1</v>
      </c>
      <c r="I114" s="16">
        <f>H114*4</f>
        <v>4</v>
      </c>
      <c r="J114" s="37">
        <v>44562</v>
      </c>
      <c r="K114" s="37">
        <v>44926</v>
      </c>
      <c r="L114" s="47">
        <f t="shared" si="25"/>
        <v>1</v>
      </c>
      <c r="M114" s="48"/>
      <c r="N114" s="14"/>
      <c r="O114" s="20">
        <f t="shared" si="15"/>
        <v>0</v>
      </c>
      <c r="P114" s="39">
        <v>0.2</v>
      </c>
      <c r="Q114" s="20">
        <f t="shared" si="30"/>
        <v>0</v>
      </c>
      <c r="R114" s="20">
        <f t="shared" si="31"/>
        <v>0</v>
      </c>
      <c r="S114" s="14">
        <f t="shared" si="35"/>
        <v>1350</v>
      </c>
      <c r="T114" s="14">
        <f t="shared" si="36"/>
        <v>1000</v>
      </c>
      <c r="U114" s="14">
        <f t="shared" si="24"/>
        <v>2350</v>
      </c>
    </row>
    <row r="115" spans="1:21" s="7" customFormat="1" x14ac:dyDescent="0.3">
      <c r="A115" s="33" t="s">
        <v>46</v>
      </c>
      <c r="B115" s="36" t="s">
        <v>340</v>
      </c>
      <c r="C115" s="5">
        <v>36000</v>
      </c>
      <c r="D115" s="2">
        <f t="shared" si="29"/>
        <v>1080000</v>
      </c>
      <c r="E115" s="38" t="s">
        <v>236</v>
      </c>
      <c r="F115" s="47" t="s">
        <v>367</v>
      </c>
      <c r="G115" s="16">
        <v>48</v>
      </c>
      <c r="H115" s="16">
        <v>1</v>
      </c>
      <c r="I115" s="16">
        <f>H115*4</f>
        <v>4</v>
      </c>
      <c r="J115" s="37">
        <v>44562</v>
      </c>
      <c r="K115" s="37">
        <v>44926</v>
      </c>
      <c r="L115" s="47">
        <f t="shared" si="25"/>
        <v>1</v>
      </c>
      <c r="M115" s="48"/>
      <c r="N115" s="14"/>
      <c r="O115" s="20">
        <f t="shared" si="15"/>
        <v>0</v>
      </c>
      <c r="P115" s="39">
        <v>0.2</v>
      </c>
      <c r="Q115" s="20">
        <f t="shared" si="30"/>
        <v>0</v>
      </c>
      <c r="R115" s="20">
        <f t="shared" si="31"/>
        <v>0</v>
      </c>
      <c r="S115" s="14">
        <f t="shared" si="35"/>
        <v>648</v>
      </c>
      <c r="T115" s="14">
        <f t="shared" si="36"/>
        <v>480</v>
      </c>
      <c r="U115" s="14">
        <f t="shared" si="24"/>
        <v>1128</v>
      </c>
    </row>
    <row r="116" spans="1:21" s="7" customFormat="1" x14ac:dyDescent="0.3">
      <c r="A116" s="33" t="s">
        <v>46</v>
      </c>
      <c r="B116" s="36" t="s">
        <v>340</v>
      </c>
      <c r="C116" s="5">
        <v>36000</v>
      </c>
      <c r="D116" s="2">
        <f t="shared" si="29"/>
        <v>1080000</v>
      </c>
      <c r="E116" s="38" t="s">
        <v>347</v>
      </c>
      <c r="F116" s="47" t="s">
        <v>393</v>
      </c>
      <c r="G116" s="16" t="s">
        <v>346</v>
      </c>
      <c r="H116" s="16">
        <v>1</v>
      </c>
      <c r="I116" s="16">
        <f>H116*3</f>
        <v>3</v>
      </c>
      <c r="J116" s="37">
        <v>44562</v>
      </c>
      <c r="K116" s="37">
        <v>44926</v>
      </c>
      <c r="L116" s="47">
        <f t="shared" si="25"/>
        <v>1</v>
      </c>
      <c r="M116" s="48"/>
      <c r="N116" s="14"/>
      <c r="O116" s="20">
        <f t="shared" si="15"/>
        <v>0</v>
      </c>
      <c r="P116" s="39">
        <v>0.2</v>
      </c>
      <c r="Q116" s="20">
        <f t="shared" si="30"/>
        <v>0</v>
      </c>
      <c r="R116" s="20">
        <f t="shared" si="31"/>
        <v>0</v>
      </c>
      <c r="S116" s="14">
        <f>H116*105</f>
        <v>105</v>
      </c>
      <c r="T116" s="14">
        <f>H116*90</f>
        <v>90</v>
      </c>
      <c r="U116" s="14">
        <f t="shared" si="24"/>
        <v>195</v>
      </c>
    </row>
    <row r="117" spans="1:21" s="7" customFormat="1" x14ac:dyDescent="0.3">
      <c r="A117" s="33" t="s">
        <v>46</v>
      </c>
      <c r="B117" s="36" t="s">
        <v>340</v>
      </c>
      <c r="C117" s="5">
        <v>36000</v>
      </c>
      <c r="D117" s="2">
        <f t="shared" si="29"/>
        <v>1080000</v>
      </c>
      <c r="E117" s="38" t="s">
        <v>368</v>
      </c>
      <c r="F117" s="47" t="s">
        <v>369</v>
      </c>
      <c r="G117" s="16" t="s">
        <v>370</v>
      </c>
      <c r="H117" s="16">
        <v>1</v>
      </c>
      <c r="I117" s="16">
        <f>H117</f>
        <v>1</v>
      </c>
      <c r="J117" s="37">
        <v>44562</v>
      </c>
      <c r="K117" s="37">
        <v>44926</v>
      </c>
      <c r="L117" s="47">
        <f t="shared" si="25"/>
        <v>1</v>
      </c>
      <c r="M117" s="48"/>
      <c r="N117" s="14"/>
      <c r="O117" s="20">
        <f t="shared" si="15"/>
        <v>0</v>
      </c>
      <c r="P117" s="39">
        <v>0.2</v>
      </c>
      <c r="Q117" s="20">
        <f t="shared" si="30"/>
        <v>0</v>
      </c>
      <c r="R117" s="20">
        <f t="shared" si="31"/>
        <v>0</v>
      </c>
      <c r="S117" s="14">
        <f>H117*200</f>
        <v>200</v>
      </c>
      <c r="T117" s="14">
        <f>H117*250</f>
        <v>250</v>
      </c>
      <c r="U117" s="14">
        <f t="shared" si="24"/>
        <v>450</v>
      </c>
    </row>
    <row r="118" spans="1:21" s="7" customFormat="1" x14ac:dyDescent="0.3">
      <c r="A118" s="33" t="s">
        <v>46</v>
      </c>
      <c r="B118" s="36" t="s">
        <v>340</v>
      </c>
      <c r="C118" s="5">
        <v>36000</v>
      </c>
      <c r="D118" s="2">
        <f t="shared" si="29"/>
        <v>1080000</v>
      </c>
      <c r="E118" s="38" t="s">
        <v>371</v>
      </c>
      <c r="F118" s="47" t="s">
        <v>372</v>
      </c>
      <c r="G118" s="16" t="s">
        <v>373</v>
      </c>
      <c r="H118" s="16">
        <v>1</v>
      </c>
      <c r="I118" s="16">
        <f>H118</f>
        <v>1</v>
      </c>
      <c r="J118" s="37">
        <v>44562</v>
      </c>
      <c r="K118" s="37">
        <v>44926</v>
      </c>
      <c r="L118" s="47">
        <f t="shared" si="25"/>
        <v>1</v>
      </c>
      <c r="M118" s="48"/>
      <c r="N118" s="14"/>
      <c r="O118" s="20">
        <f t="shared" si="15"/>
        <v>0</v>
      </c>
      <c r="P118" s="39">
        <v>0.2</v>
      </c>
      <c r="Q118" s="20">
        <f t="shared" si="30"/>
        <v>0</v>
      </c>
      <c r="R118" s="20">
        <f t="shared" si="31"/>
        <v>0</v>
      </c>
      <c r="S118" s="14">
        <f>H118*115</f>
        <v>115</v>
      </c>
      <c r="T118" s="14">
        <f>H118*200</f>
        <v>200</v>
      </c>
      <c r="U118" s="14">
        <f t="shared" si="24"/>
        <v>315</v>
      </c>
    </row>
    <row r="119" spans="1:21" s="7" customFormat="1" x14ac:dyDescent="0.3">
      <c r="A119" s="33" t="s">
        <v>46</v>
      </c>
      <c r="B119" s="36" t="s">
        <v>340</v>
      </c>
      <c r="C119" s="5">
        <v>36000</v>
      </c>
      <c r="D119" s="2">
        <f t="shared" si="29"/>
        <v>1080000</v>
      </c>
      <c r="E119" s="41" t="s">
        <v>363</v>
      </c>
      <c r="F119" s="47" t="s">
        <v>374</v>
      </c>
      <c r="G119" s="16">
        <v>32</v>
      </c>
      <c r="H119" s="44">
        <v>1</v>
      </c>
      <c r="I119" s="44">
        <f>H119*16</f>
        <v>16</v>
      </c>
      <c r="J119" s="37">
        <v>44562</v>
      </c>
      <c r="K119" s="37">
        <v>44926</v>
      </c>
      <c r="L119" s="47">
        <f t="shared" si="25"/>
        <v>1</v>
      </c>
      <c r="M119" s="48"/>
      <c r="N119" s="14"/>
      <c r="O119" s="20">
        <f>H119*L119*M119</f>
        <v>0</v>
      </c>
      <c r="P119" s="39">
        <v>0.2</v>
      </c>
      <c r="Q119" s="20">
        <f>M119-M119*P119</f>
        <v>0</v>
      </c>
      <c r="R119" s="20">
        <f>O119-O119*P119</f>
        <v>0</v>
      </c>
      <c r="S119" s="14">
        <f t="shared" ref="S119:S120" si="37">G119*13.5</f>
        <v>432</v>
      </c>
      <c r="T119" s="14">
        <f t="shared" ref="T119:T120" si="38">G119*10</f>
        <v>320</v>
      </c>
      <c r="U119" s="14">
        <f>R119+S119+T119</f>
        <v>752</v>
      </c>
    </row>
    <row r="120" spans="1:21" s="7" customFormat="1" x14ac:dyDescent="0.3">
      <c r="A120" s="33" t="s">
        <v>46</v>
      </c>
      <c r="B120" s="36" t="s">
        <v>340</v>
      </c>
      <c r="C120" s="5">
        <v>36000</v>
      </c>
      <c r="D120" s="2">
        <f t="shared" si="29"/>
        <v>1080000</v>
      </c>
      <c r="E120" s="41" t="s">
        <v>363</v>
      </c>
      <c r="F120" s="47" t="s">
        <v>311</v>
      </c>
      <c r="G120" s="16">
        <v>32</v>
      </c>
      <c r="H120" s="44">
        <v>1</v>
      </c>
      <c r="I120" s="44">
        <f>H120*16</f>
        <v>16</v>
      </c>
      <c r="J120" s="37">
        <v>44562</v>
      </c>
      <c r="K120" s="37">
        <v>44926</v>
      </c>
      <c r="L120" s="47">
        <f t="shared" si="25"/>
        <v>1</v>
      </c>
      <c r="M120" s="48"/>
      <c r="N120" s="14"/>
      <c r="O120" s="20">
        <f>H120*L120*M120</f>
        <v>0</v>
      </c>
      <c r="P120" s="39">
        <v>0.2</v>
      </c>
      <c r="Q120" s="20">
        <f>M120-M120*P120</f>
        <v>0</v>
      </c>
      <c r="R120" s="20">
        <f>O120-O120*P120</f>
        <v>0</v>
      </c>
      <c r="S120" s="14">
        <f t="shared" si="37"/>
        <v>432</v>
      </c>
      <c r="T120" s="14">
        <f t="shared" si="38"/>
        <v>320</v>
      </c>
      <c r="U120" s="14">
        <f>R120+S120+T120</f>
        <v>752</v>
      </c>
    </row>
    <row r="121" spans="1:21" s="7" customFormat="1" x14ac:dyDescent="0.3">
      <c r="A121" s="33" t="s">
        <v>46</v>
      </c>
      <c r="B121" s="36" t="s">
        <v>340</v>
      </c>
      <c r="C121" s="5">
        <v>36000</v>
      </c>
      <c r="D121" s="2">
        <f t="shared" si="29"/>
        <v>1080000</v>
      </c>
      <c r="E121" s="38" t="s">
        <v>350</v>
      </c>
      <c r="F121" s="47" t="s">
        <v>320</v>
      </c>
      <c r="G121" s="16">
        <v>7.6</v>
      </c>
      <c r="H121" s="16">
        <v>1</v>
      </c>
      <c r="I121" s="16">
        <f>H121*4</f>
        <v>4</v>
      </c>
      <c r="J121" s="37">
        <v>44562</v>
      </c>
      <c r="K121" s="37">
        <v>44926</v>
      </c>
      <c r="L121" s="47">
        <f t="shared" si="25"/>
        <v>1</v>
      </c>
      <c r="M121" s="48"/>
      <c r="N121" s="14"/>
      <c r="O121" s="20">
        <f>H121*L121*M121</f>
        <v>0</v>
      </c>
      <c r="P121" s="39">
        <v>0.2</v>
      </c>
      <c r="Q121" s="20">
        <f>M121-M121*P121</f>
        <v>0</v>
      </c>
      <c r="R121" s="20">
        <f>O121-O121*P121</f>
        <v>0</v>
      </c>
      <c r="S121" s="14">
        <f>H121*168</f>
        <v>168</v>
      </c>
      <c r="T121" s="14">
        <f>H121*300</f>
        <v>300</v>
      </c>
      <c r="U121" s="14">
        <f>R121+S121+T121</f>
        <v>468</v>
      </c>
    </row>
    <row r="122" spans="1:21" s="7" customFormat="1" x14ac:dyDescent="0.3">
      <c r="A122" s="33" t="s">
        <v>46</v>
      </c>
      <c r="B122" s="36" t="s">
        <v>340</v>
      </c>
      <c r="C122" s="5">
        <v>36000</v>
      </c>
      <c r="D122" s="2">
        <f t="shared" si="29"/>
        <v>1080000</v>
      </c>
      <c r="E122" s="38" t="s">
        <v>350</v>
      </c>
      <c r="F122" s="47" t="s">
        <v>321</v>
      </c>
      <c r="G122" s="16">
        <v>7.6</v>
      </c>
      <c r="H122" s="16">
        <v>1</v>
      </c>
      <c r="I122" s="16">
        <f>H122*4</f>
        <v>4</v>
      </c>
      <c r="J122" s="37">
        <v>44562</v>
      </c>
      <c r="K122" s="37">
        <v>44926</v>
      </c>
      <c r="L122" s="47">
        <f t="shared" si="25"/>
        <v>1</v>
      </c>
      <c r="M122" s="48"/>
      <c r="N122" s="14"/>
      <c r="O122" s="20">
        <f>H122*L122*M122</f>
        <v>0</v>
      </c>
      <c r="P122" s="39">
        <v>0.2</v>
      </c>
      <c r="Q122" s="20">
        <f>M122-M122*P122</f>
        <v>0</v>
      </c>
      <c r="R122" s="20">
        <f>O122-O122*P122</f>
        <v>0</v>
      </c>
      <c r="S122" s="14">
        <f>H122*168</f>
        <v>168</v>
      </c>
      <c r="T122" s="14">
        <f>H122*300</f>
        <v>300</v>
      </c>
      <c r="U122" s="14">
        <f>R122+S122+T122</f>
        <v>468</v>
      </c>
    </row>
    <row r="123" spans="1:21" s="7" customFormat="1" x14ac:dyDescent="0.3">
      <c r="A123" s="33" t="s">
        <v>46</v>
      </c>
      <c r="B123" s="36" t="s">
        <v>340</v>
      </c>
      <c r="C123" s="5">
        <v>36000</v>
      </c>
      <c r="D123" s="2">
        <f t="shared" si="29"/>
        <v>1080000</v>
      </c>
      <c r="E123" s="41" t="s">
        <v>363</v>
      </c>
      <c r="F123" s="47" t="s">
        <v>312</v>
      </c>
      <c r="G123" s="16">
        <v>28</v>
      </c>
      <c r="H123" s="16">
        <v>1</v>
      </c>
      <c r="I123" s="16">
        <f>H123*24</f>
        <v>24</v>
      </c>
      <c r="J123" s="37">
        <v>44562</v>
      </c>
      <c r="K123" s="37">
        <v>44926</v>
      </c>
      <c r="L123" s="47">
        <f t="shared" si="25"/>
        <v>1</v>
      </c>
      <c r="M123" s="48"/>
      <c r="N123" s="14"/>
      <c r="O123" s="20">
        <f t="shared" si="15"/>
        <v>0</v>
      </c>
      <c r="P123" s="39">
        <v>0.2</v>
      </c>
      <c r="Q123" s="20">
        <f t="shared" si="30"/>
        <v>0</v>
      </c>
      <c r="R123" s="20">
        <f t="shared" si="31"/>
        <v>0</v>
      </c>
      <c r="S123" s="14">
        <f t="shared" ref="S123:S124" si="39">G123*13.5</f>
        <v>378</v>
      </c>
      <c r="T123" s="14">
        <f t="shared" ref="T123:T124" si="40">G123*10</f>
        <v>280</v>
      </c>
      <c r="U123" s="14">
        <f t="shared" si="24"/>
        <v>658</v>
      </c>
    </row>
    <row r="124" spans="1:21" s="7" customFormat="1" x14ac:dyDescent="0.3">
      <c r="A124" s="33" t="s">
        <v>46</v>
      </c>
      <c r="B124" s="36" t="s">
        <v>340</v>
      </c>
      <c r="C124" s="5">
        <v>36000</v>
      </c>
      <c r="D124" s="2">
        <f t="shared" si="29"/>
        <v>1080000</v>
      </c>
      <c r="E124" s="38" t="s">
        <v>363</v>
      </c>
      <c r="F124" s="47" t="s">
        <v>313</v>
      </c>
      <c r="G124" s="16">
        <v>26</v>
      </c>
      <c r="H124" s="16">
        <v>1</v>
      </c>
      <c r="I124" s="16"/>
      <c r="J124" s="37">
        <v>44562</v>
      </c>
      <c r="K124" s="37">
        <v>44926</v>
      </c>
      <c r="L124" s="47">
        <f t="shared" si="25"/>
        <v>1</v>
      </c>
      <c r="M124" s="48"/>
      <c r="N124" s="14"/>
      <c r="O124" s="20">
        <f t="shared" si="15"/>
        <v>0</v>
      </c>
      <c r="P124" s="39">
        <v>0.2</v>
      </c>
      <c r="Q124" s="20">
        <f t="shared" si="30"/>
        <v>0</v>
      </c>
      <c r="R124" s="20">
        <f t="shared" si="31"/>
        <v>0</v>
      </c>
      <c r="S124" s="14">
        <f t="shared" si="39"/>
        <v>351</v>
      </c>
      <c r="T124" s="14">
        <f t="shared" si="40"/>
        <v>260</v>
      </c>
      <c r="U124" s="14">
        <f t="shared" si="24"/>
        <v>611</v>
      </c>
    </row>
    <row r="125" spans="1:21" s="7" customFormat="1" x14ac:dyDescent="0.3">
      <c r="A125" s="33" t="s">
        <v>46</v>
      </c>
      <c r="B125" s="36" t="s">
        <v>340</v>
      </c>
      <c r="C125" s="5">
        <v>36000</v>
      </c>
      <c r="D125" s="2">
        <f t="shared" si="29"/>
        <v>1080000</v>
      </c>
      <c r="E125" s="47" t="s">
        <v>376</v>
      </c>
      <c r="F125" s="47" t="s">
        <v>322</v>
      </c>
      <c r="G125" s="16" t="s">
        <v>377</v>
      </c>
      <c r="H125" s="16">
        <v>1</v>
      </c>
      <c r="I125" s="16">
        <f>H125</f>
        <v>1</v>
      </c>
      <c r="J125" s="37">
        <v>44562</v>
      </c>
      <c r="K125" s="37">
        <v>44926</v>
      </c>
      <c r="L125" s="47">
        <f t="shared" si="25"/>
        <v>1</v>
      </c>
      <c r="M125" s="48"/>
      <c r="N125" s="14"/>
      <c r="O125" s="20">
        <f t="shared" si="15"/>
        <v>0</v>
      </c>
      <c r="P125" s="39">
        <v>0.2</v>
      </c>
      <c r="Q125" s="20">
        <f t="shared" si="30"/>
        <v>0</v>
      </c>
      <c r="R125" s="20">
        <f t="shared" si="31"/>
        <v>0</v>
      </c>
      <c r="S125" s="14">
        <f>H125*240</f>
        <v>240</v>
      </c>
      <c r="T125" s="14">
        <f>H125*240</f>
        <v>240</v>
      </c>
      <c r="U125" s="14">
        <f t="shared" si="24"/>
        <v>480</v>
      </c>
    </row>
    <row r="126" spans="1:21" s="7" customFormat="1" x14ac:dyDescent="0.3">
      <c r="A126" s="33" t="s">
        <v>46</v>
      </c>
      <c r="B126" s="36" t="s">
        <v>340</v>
      </c>
      <c r="C126" s="5">
        <v>36000</v>
      </c>
      <c r="D126" s="2">
        <f t="shared" si="29"/>
        <v>1080000</v>
      </c>
      <c r="E126" s="47" t="s">
        <v>376</v>
      </c>
      <c r="F126" s="47" t="s">
        <v>408</v>
      </c>
      <c r="G126" s="16" t="s">
        <v>378</v>
      </c>
      <c r="H126" s="16">
        <v>1</v>
      </c>
      <c r="I126" s="16">
        <f>H126</f>
        <v>1</v>
      </c>
      <c r="J126" s="37">
        <v>44562</v>
      </c>
      <c r="K126" s="37">
        <v>44926</v>
      </c>
      <c r="L126" s="47">
        <f t="shared" si="25"/>
        <v>1</v>
      </c>
      <c r="M126" s="48"/>
      <c r="N126" s="14"/>
      <c r="O126" s="20">
        <f t="shared" si="15"/>
        <v>0</v>
      </c>
      <c r="P126" s="39">
        <v>0.2</v>
      </c>
      <c r="Q126" s="20">
        <f t="shared" si="30"/>
        <v>0</v>
      </c>
      <c r="R126" s="20">
        <f t="shared" si="31"/>
        <v>0</v>
      </c>
      <c r="S126" s="14">
        <f>H126*184</f>
        <v>184</v>
      </c>
      <c r="T126" s="14">
        <f>H126*184</f>
        <v>184</v>
      </c>
      <c r="U126" s="14">
        <f t="shared" si="24"/>
        <v>368</v>
      </c>
    </row>
    <row r="127" spans="1:21" s="7" customFormat="1" x14ac:dyDescent="0.3">
      <c r="A127" s="33" t="s">
        <v>46</v>
      </c>
      <c r="B127" s="36" t="s">
        <v>340</v>
      </c>
      <c r="C127" s="5">
        <v>36000</v>
      </c>
      <c r="D127" s="2">
        <f t="shared" si="29"/>
        <v>1080000</v>
      </c>
      <c r="E127" s="47" t="s">
        <v>376</v>
      </c>
      <c r="F127" s="47" t="s">
        <v>409</v>
      </c>
      <c r="G127" s="16" t="s">
        <v>379</v>
      </c>
      <c r="H127" s="16">
        <v>1</v>
      </c>
      <c r="I127" s="16">
        <f>H127</f>
        <v>1</v>
      </c>
      <c r="J127" s="37">
        <v>44562</v>
      </c>
      <c r="K127" s="37">
        <v>44926</v>
      </c>
      <c r="L127" s="47">
        <f t="shared" si="25"/>
        <v>1</v>
      </c>
      <c r="M127" s="48"/>
      <c r="N127" s="14"/>
      <c r="O127" s="20">
        <f t="shared" si="15"/>
        <v>0</v>
      </c>
      <c r="P127" s="39">
        <v>0.2</v>
      </c>
      <c r="Q127" s="20">
        <f t="shared" si="30"/>
        <v>0</v>
      </c>
      <c r="R127" s="20">
        <f t="shared" si="31"/>
        <v>0</v>
      </c>
      <c r="S127" s="14">
        <f>H127*192</f>
        <v>192</v>
      </c>
      <c r="T127" s="14">
        <f>H127*192</f>
        <v>192</v>
      </c>
      <c r="U127" s="14">
        <f t="shared" si="24"/>
        <v>384</v>
      </c>
    </row>
    <row r="128" spans="1:21" s="7" customFormat="1" x14ac:dyDescent="0.3">
      <c r="A128" s="33" t="s">
        <v>46</v>
      </c>
      <c r="B128" s="36" t="s">
        <v>340</v>
      </c>
      <c r="C128" s="5">
        <v>36000</v>
      </c>
      <c r="D128" s="2">
        <f t="shared" si="29"/>
        <v>1080000</v>
      </c>
      <c r="E128" s="41" t="s">
        <v>375</v>
      </c>
      <c r="F128" s="47" t="s">
        <v>380</v>
      </c>
      <c r="G128" s="16">
        <f>3*3*5</f>
        <v>45</v>
      </c>
      <c r="H128" s="16">
        <v>1</v>
      </c>
      <c r="I128" s="16">
        <f>H128*5</f>
        <v>5</v>
      </c>
      <c r="J128" s="37">
        <v>44562</v>
      </c>
      <c r="K128" s="37">
        <v>44926</v>
      </c>
      <c r="L128" s="47">
        <f t="shared" si="25"/>
        <v>1</v>
      </c>
      <c r="M128" s="48"/>
      <c r="N128" s="14"/>
      <c r="O128" s="20">
        <f t="shared" si="15"/>
        <v>0</v>
      </c>
      <c r="P128" s="39">
        <v>0.2</v>
      </c>
      <c r="Q128" s="20">
        <f t="shared" si="30"/>
        <v>0</v>
      </c>
      <c r="R128" s="20">
        <f t="shared" si="31"/>
        <v>0</v>
      </c>
      <c r="S128" s="14">
        <f>G128*8</f>
        <v>360</v>
      </c>
      <c r="T128" s="14">
        <f>G128*8</f>
        <v>360</v>
      </c>
      <c r="U128" s="14">
        <f t="shared" ref="U128:U182" si="41">R128+S128+T128</f>
        <v>720</v>
      </c>
    </row>
    <row r="129" spans="1:21" s="7" customFormat="1" x14ac:dyDescent="0.3">
      <c r="A129" s="33" t="s">
        <v>46</v>
      </c>
      <c r="B129" s="36" t="s">
        <v>340</v>
      </c>
      <c r="C129" s="5">
        <v>36000</v>
      </c>
      <c r="D129" s="2">
        <f t="shared" si="29"/>
        <v>1080000</v>
      </c>
      <c r="E129" s="38" t="s">
        <v>236</v>
      </c>
      <c r="F129" s="47" t="s">
        <v>381</v>
      </c>
      <c r="G129" s="16">
        <v>72</v>
      </c>
      <c r="H129" s="16">
        <v>1</v>
      </c>
      <c r="I129" s="16">
        <f>H129*8</f>
        <v>8</v>
      </c>
      <c r="J129" s="37">
        <v>44562</v>
      </c>
      <c r="K129" s="37">
        <v>44926</v>
      </c>
      <c r="L129" s="47">
        <f t="shared" si="25"/>
        <v>1</v>
      </c>
      <c r="M129" s="48"/>
      <c r="N129" s="14"/>
      <c r="O129" s="20">
        <f t="shared" si="15"/>
        <v>0</v>
      </c>
      <c r="P129" s="39">
        <v>0.2</v>
      </c>
      <c r="Q129" s="20">
        <f t="shared" si="30"/>
        <v>0</v>
      </c>
      <c r="R129" s="20">
        <f t="shared" si="31"/>
        <v>0</v>
      </c>
      <c r="S129" s="14">
        <f t="shared" ref="S129:S132" si="42">G129*13.5</f>
        <v>972</v>
      </c>
      <c r="T129" s="14">
        <f t="shared" ref="T129:T132" si="43">G129*10</f>
        <v>720</v>
      </c>
      <c r="U129" s="14">
        <f t="shared" si="41"/>
        <v>1692</v>
      </c>
    </row>
    <row r="130" spans="1:21" s="7" customFormat="1" x14ac:dyDescent="0.3">
      <c r="A130" s="33" t="s">
        <v>46</v>
      </c>
      <c r="B130" s="36" t="s">
        <v>340</v>
      </c>
      <c r="C130" s="5">
        <v>36000</v>
      </c>
      <c r="D130" s="2">
        <f t="shared" si="29"/>
        <v>1080000</v>
      </c>
      <c r="E130" s="38" t="s">
        <v>236</v>
      </c>
      <c r="F130" s="47" t="s">
        <v>382</v>
      </c>
      <c r="G130" s="16">
        <v>72</v>
      </c>
      <c r="H130" s="16">
        <v>1</v>
      </c>
      <c r="I130" s="16">
        <f>H130*6</f>
        <v>6</v>
      </c>
      <c r="J130" s="37">
        <v>44562</v>
      </c>
      <c r="K130" s="37">
        <v>44926</v>
      </c>
      <c r="L130" s="47">
        <f t="shared" si="25"/>
        <v>1</v>
      </c>
      <c r="M130" s="48"/>
      <c r="N130" s="14"/>
      <c r="O130" s="20">
        <f t="shared" si="15"/>
        <v>0</v>
      </c>
      <c r="P130" s="39">
        <v>0.2</v>
      </c>
      <c r="Q130" s="20">
        <f t="shared" si="30"/>
        <v>0</v>
      </c>
      <c r="R130" s="20">
        <f t="shared" si="31"/>
        <v>0</v>
      </c>
      <c r="S130" s="14">
        <f t="shared" si="42"/>
        <v>972</v>
      </c>
      <c r="T130" s="14">
        <f t="shared" si="43"/>
        <v>720</v>
      </c>
      <c r="U130" s="14">
        <f t="shared" si="41"/>
        <v>1692</v>
      </c>
    </row>
    <row r="131" spans="1:21" s="7" customFormat="1" x14ac:dyDescent="0.3">
      <c r="A131" s="33" t="s">
        <v>46</v>
      </c>
      <c r="B131" s="36" t="s">
        <v>340</v>
      </c>
      <c r="C131" s="5">
        <v>36000</v>
      </c>
      <c r="D131" s="2">
        <f t="shared" si="29"/>
        <v>1080000</v>
      </c>
      <c r="E131" s="38" t="s">
        <v>383</v>
      </c>
      <c r="F131" s="47" t="s">
        <v>323</v>
      </c>
      <c r="G131" s="16">
        <v>40</v>
      </c>
      <c r="H131" s="16">
        <v>1</v>
      </c>
      <c r="I131" s="16">
        <f>H131*4</f>
        <v>4</v>
      </c>
      <c r="J131" s="37">
        <v>44562</v>
      </c>
      <c r="K131" s="37">
        <v>44926</v>
      </c>
      <c r="L131" s="47">
        <f t="shared" si="25"/>
        <v>1</v>
      </c>
      <c r="M131" s="48"/>
      <c r="N131" s="14"/>
      <c r="O131" s="20">
        <f t="shared" si="15"/>
        <v>0</v>
      </c>
      <c r="P131" s="39">
        <v>0.2</v>
      </c>
      <c r="Q131" s="20">
        <f t="shared" si="30"/>
        <v>0</v>
      </c>
      <c r="R131" s="20">
        <f t="shared" si="31"/>
        <v>0</v>
      </c>
      <c r="S131" s="14">
        <f t="shared" si="42"/>
        <v>540</v>
      </c>
      <c r="T131" s="14">
        <f t="shared" si="43"/>
        <v>400</v>
      </c>
      <c r="U131" s="14">
        <f t="shared" si="41"/>
        <v>940</v>
      </c>
    </row>
    <row r="132" spans="1:21" s="7" customFormat="1" x14ac:dyDescent="0.3">
      <c r="A132" s="33" t="s">
        <v>46</v>
      </c>
      <c r="B132" s="36" t="s">
        <v>340</v>
      </c>
      <c r="C132" s="5">
        <v>36000</v>
      </c>
      <c r="D132" s="2">
        <f t="shared" si="29"/>
        <v>1080000</v>
      </c>
      <c r="E132" s="38" t="s">
        <v>383</v>
      </c>
      <c r="F132" s="47" t="s">
        <v>324</v>
      </c>
      <c r="G132" s="16">
        <v>40</v>
      </c>
      <c r="H132" s="16">
        <v>1</v>
      </c>
      <c r="I132" s="16">
        <f>H132*4</f>
        <v>4</v>
      </c>
      <c r="J132" s="37">
        <v>44562</v>
      </c>
      <c r="K132" s="37">
        <v>44926</v>
      </c>
      <c r="L132" s="47">
        <f t="shared" si="25"/>
        <v>1</v>
      </c>
      <c r="M132" s="48"/>
      <c r="N132" s="14"/>
      <c r="O132" s="20">
        <f t="shared" si="15"/>
        <v>0</v>
      </c>
      <c r="P132" s="39">
        <v>0.2</v>
      </c>
      <c r="Q132" s="20">
        <f t="shared" si="30"/>
        <v>0</v>
      </c>
      <c r="R132" s="20">
        <f t="shared" si="31"/>
        <v>0</v>
      </c>
      <c r="S132" s="14">
        <f t="shared" si="42"/>
        <v>540</v>
      </c>
      <c r="T132" s="14">
        <f t="shared" si="43"/>
        <v>400</v>
      </c>
      <c r="U132" s="14">
        <f t="shared" si="41"/>
        <v>940</v>
      </c>
    </row>
    <row r="133" spans="1:21" s="7" customFormat="1" x14ac:dyDescent="0.3">
      <c r="A133" s="33" t="s">
        <v>46</v>
      </c>
      <c r="B133" s="36" t="s">
        <v>340</v>
      </c>
      <c r="C133" s="5">
        <v>36000</v>
      </c>
      <c r="D133" s="2">
        <f t="shared" si="29"/>
        <v>1080000</v>
      </c>
      <c r="E133" s="47" t="s">
        <v>1</v>
      </c>
      <c r="F133" s="47" t="s">
        <v>325</v>
      </c>
      <c r="G133" s="16">
        <v>16</v>
      </c>
      <c r="H133" s="16">
        <v>1</v>
      </c>
      <c r="I133" s="16">
        <f>H133</f>
        <v>1</v>
      </c>
      <c r="J133" s="37">
        <v>44562</v>
      </c>
      <c r="K133" s="37">
        <v>44926</v>
      </c>
      <c r="L133" s="47">
        <f t="shared" si="25"/>
        <v>1</v>
      </c>
      <c r="M133" s="48"/>
      <c r="N133" s="14"/>
      <c r="O133" s="20">
        <f t="shared" si="15"/>
        <v>0</v>
      </c>
      <c r="P133" s="39">
        <v>0.2</v>
      </c>
      <c r="Q133" s="20">
        <f t="shared" si="30"/>
        <v>0</v>
      </c>
      <c r="R133" s="20">
        <f t="shared" si="31"/>
        <v>0</v>
      </c>
      <c r="S133" s="14">
        <v>0</v>
      </c>
      <c r="T133" s="14">
        <v>0</v>
      </c>
      <c r="U133" s="14">
        <f t="shared" si="41"/>
        <v>0</v>
      </c>
    </row>
    <row r="134" spans="1:21" s="7" customFormat="1" x14ac:dyDescent="0.3">
      <c r="A134" s="33" t="s">
        <v>46</v>
      </c>
      <c r="B134" s="36" t="s">
        <v>340</v>
      </c>
      <c r="C134" s="5">
        <v>36000</v>
      </c>
      <c r="D134" s="2">
        <f t="shared" si="29"/>
        <v>1080000</v>
      </c>
      <c r="E134" s="47" t="s">
        <v>1</v>
      </c>
      <c r="F134" s="47" t="s">
        <v>326</v>
      </c>
      <c r="G134" s="16">
        <v>20</v>
      </c>
      <c r="H134" s="16">
        <v>1</v>
      </c>
      <c r="I134" s="16">
        <f>H134</f>
        <v>1</v>
      </c>
      <c r="J134" s="37">
        <v>44562</v>
      </c>
      <c r="K134" s="37">
        <v>44926</v>
      </c>
      <c r="L134" s="47">
        <f t="shared" si="25"/>
        <v>1</v>
      </c>
      <c r="M134" s="48"/>
      <c r="N134" s="14"/>
      <c r="O134" s="20">
        <f t="shared" si="15"/>
        <v>0</v>
      </c>
      <c r="P134" s="39">
        <v>0.2</v>
      </c>
      <c r="Q134" s="20">
        <f t="shared" si="30"/>
        <v>0</v>
      </c>
      <c r="R134" s="20">
        <f t="shared" si="31"/>
        <v>0</v>
      </c>
      <c r="S134" s="14">
        <v>0</v>
      </c>
      <c r="T134" s="14">
        <v>0</v>
      </c>
      <c r="U134" s="14">
        <f t="shared" si="41"/>
        <v>0</v>
      </c>
    </row>
    <row r="135" spans="1:21" s="7" customFormat="1" x14ac:dyDescent="0.3">
      <c r="A135" s="33" t="s">
        <v>46</v>
      </c>
      <c r="B135" s="36" t="s">
        <v>340</v>
      </c>
      <c r="C135" s="5">
        <v>36000</v>
      </c>
      <c r="D135" s="2">
        <f t="shared" si="29"/>
        <v>1080000</v>
      </c>
      <c r="E135" s="38" t="s">
        <v>296</v>
      </c>
      <c r="F135" s="47" t="s">
        <v>314</v>
      </c>
      <c r="G135" s="16" t="s">
        <v>59</v>
      </c>
      <c r="H135" s="16">
        <v>1</v>
      </c>
      <c r="I135" s="16">
        <f>H135*2</f>
        <v>2</v>
      </c>
      <c r="J135" s="37">
        <v>44562</v>
      </c>
      <c r="K135" s="37">
        <v>44926</v>
      </c>
      <c r="L135" s="47">
        <f t="shared" si="25"/>
        <v>1</v>
      </c>
      <c r="M135" s="48"/>
      <c r="N135" s="14"/>
      <c r="O135" s="20">
        <f t="shared" si="15"/>
        <v>0</v>
      </c>
      <c r="P135" s="39">
        <v>0.2</v>
      </c>
      <c r="Q135" s="20">
        <f t="shared" si="30"/>
        <v>0</v>
      </c>
      <c r="R135" s="20">
        <f t="shared" si="31"/>
        <v>0</v>
      </c>
      <c r="S135" s="14">
        <f>H135*72</f>
        <v>72</v>
      </c>
      <c r="T135" s="14">
        <f>H135*150</f>
        <v>150</v>
      </c>
      <c r="U135" s="14">
        <f t="shared" si="41"/>
        <v>222</v>
      </c>
    </row>
    <row r="136" spans="1:21" s="7" customFormat="1" x14ac:dyDescent="0.3">
      <c r="A136" s="33" t="s">
        <v>46</v>
      </c>
      <c r="B136" s="36" t="s">
        <v>340</v>
      </c>
      <c r="C136" s="5">
        <v>36000</v>
      </c>
      <c r="D136" s="2">
        <f t="shared" si="29"/>
        <v>1080000</v>
      </c>
      <c r="E136" s="38" t="s">
        <v>296</v>
      </c>
      <c r="F136" s="47" t="s">
        <v>314</v>
      </c>
      <c r="G136" s="16" t="s">
        <v>59</v>
      </c>
      <c r="H136" s="16">
        <v>1</v>
      </c>
      <c r="I136" s="16">
        <f t="shared" ref="I136:I150" si="44">H136*2</f>
        <v>2</v>
      </c>
      <c r="J136" s="37">
        <v>44562</v>
      </c>
      <c r="K136" s="37">
        <v>44926</v>
      </c>
      <c r="L136" s="47">
        <f t="shared" si="25"/>
        <v>1</v>
      </c>
      <c r="M136" s="48"/>
      <c r="N136" s="14"/>
      <c r="O136" s="20">
        <f t="shared" si="15"/>
        <v>0</v>
      </c>
      <c r="P136" s="39">
        <v>0.2</v>
      </c>
      <c r="Q136" s="20">
        <f t="shared" si="30"/>
        <v>0</v>
      </c>
      <c r="R136" s="20">
        <f t="shared" si="31"/>
        <v>0</v>
      </c>
      <c r="S136" s="14">
        <f t="shared" ref="S136:S151" si="45">H136*72</f>
        <v>72</v>
      </c>
      <c r="T136" s="14">
        <f t="shared" ref="T136:T151" si="46">H136*150</f>
        <v>150</v>
      </c>
      <c r="U136" s="14">
        <f t="shared" si="41"/>
        <v>222</v>
      </c>
    </row>
    <row r="137" spans="1:21" s="7" customFormat="1" x14ac:dyDescent="0.3">
      <c r="A137" s="33" t="s">
        <v>46</v>
      </c>
      <c r="B137" s="36" t="s">
        <v>340</v>
      </c>
      <c r="C137" s="5">
        <v>36000</v>
      </c>
      <c r="D137" s="2">
        <f t="shared" si="29"/>
        <v>1080000</v>
      </c>
      <c r="E137" s="47" t="s">
        <v>296</v>
      </c>
      <c r="F137" s="47" t="s">
        <v>327</v>
      </c>
      <c r="G137" s="16" t="s">
        <v>59</v>
      </c>
      <c r="H137" s="16">
        <v>1</v>
      </c>
      <c r="I137" s="16">
        <f t="shared" si="44"/>
        <v>2</v>
      </c>
      <c r="J137" s="37">
        <v>44562</v>
      </c>
      <c r="K137" s="37">
        <v>44926</v>
      </c>
      <c r="L137" s="47">
        <f t="shared" si="25"/>
        <v>1</v>
      </c>
      <c r="M137" s="48"/>
      <c r="N137" s="14"/>
      <c r="O137" s="20">
        <f t="shared" si="15"/>
        <v>0</v>
      </c>
      <c r="P137" s="39">
        <v>0.2</v>
      </c>
      <c r="Q137" s="20">
        <f t="shared" si="30"/>
        <v>0</v>
      </c>
      <c r="R137" s="20">
        <f t="shared" si="31"/>
        <v>0</v>
      </c>
      <c r="S137" s="14">
        <f t="shared" si="45"/>
        <v>72</v>
      </c>
      <c r="T137" s="14">
        <f t="shared" si="46"/>
        <v>150</v>
      </c>
      <c r="U137" s="14">
        <f t="shared" si="41"/>
        <v>222</v>
      </c>
    </row>
    <row r="138" spans="1:21" s="7" customFormat="1" x14ac:dyDescent="0.3">
      <c r="A138" s="33" t="s">
        <v>46</v>
      </c>
      <c r="B138" s="36" t="s">
        <v>340</v>
      </c>
      <c r="C138" s="5">
        <v>36000</v>
      </c>
      <c r="D138" s="2">
        <f t="shared" si="29"/>
        <v>1080000</v>
      </c>
      <c r="E138" s="47" t="s">
        <v>296</v>
      </c>
      <c r="F138" s="47" t="s">
        <v>327</v>
      </c>
      <c r="G138" s="16" t="s">
        <v>59</v>
      </c>
      <c r="H138" s="16">
        <v>1</v>
      </c>
      <c r="I138" s="16">
        <f t="shared" si="44"/>
        <v>2</v>
      </c>
      <c r="J138" s="37">
        <v>44562</v>
      </c>
      <c r="K138" s="37">
        <v>44926</v>
      </c>
      <c r="L138" s="47">
        <f t="shared" si="25"/>
        <v>1</v>
      </c>
      <c r="M138" s="48"/>
      <c r="N138" s="14"/>
      <c r="O138" s="20">
        <f t="shared" si="15"/>
        <v>0</v>
      </c>
      <c r="P138" s="39">
        <v>0.2</v>
      </c>
      <c r="Q138" s="20">
        <f t="shared" si="30"/>
        <v>0</v>
      </c>
      <c r="R138" s="20">
        <f t="shared" si="31"/>
        <v>0</v>
      </c>
      <c r="S138" s="14">
        <f t="shared" si="45"/>
        <v>72</v>
      </c>
      <c r="T138" s="14">
        <f t="shared" si="46"/>
        <v>150</v>
      </c>
      <c r="U138" s="14">
        <f t="shared" si="41"/>
        <v>222</v>
      </c>
    </row>
    <row r="139" spans="1:21" s="7" customFormat="1" x14ac:dyDescent="0.3">
      <c r="A139" s="33" t="s">
        <v>46</v>
      </c>
      <c r="B139" s="36" t="s">
        <v>340</v>
      </c>
      <c r="C139" s="5">
        <v>36000</v>
      </c>
      <c r="D139" s="2">
        <f t="shared" si="29"/>
        <v>1080000</v>
      </c>
      <c r="E139" s="38" t="s">
        <v>296</v>
      </c>
      <c r="F139" s="47" t="s">
        <v>328</v>
      </c>
      <c r="G139" s="16" t="s">
        <v>59</v>
      </c>
      <c r="H139" s="16">
        <v>1</v>
      </c>
      <c r="I139" s="16">
        <f t="shared" si="44"/>
        <v>2</v>
      </c>
      <c r="J139" s="37">
        <v>44562</v>
      </c>
      <c r="K139" s="37">
        <v>44926</v>
      </c>
      <c r="L139" s="47">
        <f t="shared" si="25"/>
        <v>1</v>
      </c>
      <c r="M139" s="48"/>
      <c r="N139" s="14"/>
      <c r="O139" s="20">
        <f t="shared" si="15"/>
        <v>0</v>
      </c>
      <c r="P139" s="39">
        <v>0.2</v>
      </c>
      <c r="Q139" s="20">
        <f t="shared" si="30"/>
        <v>0</v>
      </c>
      <c r="R139" s="20">
        <f t="shared" si="31"/>
        <v>0</v>
      </c>
      <c r="S139" s="14">
        <f t="shared" si="45"/>
        <v>72</v>
      </c>
      <c r="T139" s="14">
        <f t="shared" si="46"/>
        <v>150</v>
      </c>
      <c r="U139" s="14">
        <f t="shared" si="41"/>
        <v>222</v>
      </c>
    </row>
    <row r="140" spans="1:21" s="7" customFormat="1" x14ac:dyDescent="0.3">
      <c r="A140" s="33" t="s">
        <v>46</v>
      </c>
      <c r="B140" s="36" t="s">
        <v>340</v>
      </c>
      <c r="C140" s="5">
        <v>36000</v>
      </c>
      <c r="D140" s="2">
        <f t="shared" si="29"/>
        <v>1080000</v>
      </c>
      <c r="E140" s="38" t="s">
        <v>296</v>
      </c>
      <c r="F140" s="47" t="s">
        <v>328</v>
      </c>
      <c r="G140" s="16" t="s">
        <v>59</v>
      </c>
      <c r="H140" s="16">
        <v>1</v>
      </c>
      <c r="I140" s="16">
        <f t="shared" si="44"/>
        <v>2</v>
      </c>
      <c r="J140" s="37">
        <v>44562</v>
      </c>
      <c r="K140" s="37">
        <v>44926</v>
      </c>
      <c r="L140" s="47">
        <f t="shared" si="25"/>
        <v>1</v>
      </c>
      <c r="M140" s="48"/>
      <c r="N140" s="14"/>
      <c r="O140" s="20">
        <f t="shared" si="15"/>
        <v>0</v>
      </c>
      <c r="P140" s="39">
        <v>0.2</v>
      </c>
      <c r="Q140" s="20">
        <f t="shared" si="30"/>
        <v>0</v>
      </c>
      <c r="R140" s="20">
        <f t="shared" si="31"/>
        <v>0</v>
      </c>
      <c r="S140" s="14">
        <f t="shared" si="45"/>
        <v>72</v>
      </c>
      <c r="T140" s="14">
        <f t="shared" si="46"/>
        <v>150</v>
      </c>
      <c r="U140" s="14">
        <f t="shared" si="41"/>
        <v>222</v>
      </c>
    </row>
    <row r="141" spans="1:21" s="7" customFormat="1" x14ac:dyDescent="0.3">
      <c r="A141" s="33" t="s">
        <v>46</v>
      </c>
      <c r="B141" s="36" t="s">
        <v>340</v>
      </c>
      <c r="C141" s="5">
        <v>36000</v>
      </c>
      <c r="D141" s="2">
        <f t="shared" si="29"/>
        <v>1080000</v>
      </c>
      <c r="E141" s="41" t="s">
        <v>296</v>
      </c>
      <c r="F141" s="47" t="s">
        <v>315</v>
      </c>
      <c r="G141" s="16" t="s">
        <v>59</v>
      </c>
      <c r="H141" s="16">
        <v>1</v>
      </c>
      <c r="I141" s="16">
        <f t="shared" si="44"/>
        <v>2</v>
      </c>
      <c r="J141" s="37">
        <v>44562</v>
      </c>
      <c r="K141" s="37">
        <v>44926</v>
      </c>
      <c r="L141" s="47">
        <f t="shared" si="25"/>
        <v>1</v>
      </c>
      <c r="M141" s="48"/>
      <c r="N141" s="14"/>
      <c r="O141" s="20">
        <f t="shared" si="15"/>
        <v>0</v>
      </c>
      <c r="P141" s="39">
        <v>0.2</v>
      </c>
      <c r="Q141" s="20">
        <f t="shared" si="30"/>
        <v>0</v>
      </c>
      <c r="R141" s="20">
        <f t="shared" si="31"/>
        <v>0</v>
      </c>
      <c r="S141" s="14">
        <f t="shared" si="45"/>
        <v>72</v>
      </c>
      <c r="T141" s="14">
        <f t="shared" si="46"/>
        <v>150</v>
      </c>
      <c r="U141" s="14">
        <f t="shared" si="41"/>
        <v>222</v>
      </c>
    </row>
    <row r="142" spans="1:21" s="7" customFormat="1" x14ac:dyDescent="0.3">
      <c r="A142" s="33" t="s">
        <v>46</v>
      </c>
      <c r="B142" s="36" t="s">
        <v>340</v>
      </c>
      <c r="C142" s="5">
        <v>36000</v>
      </c>
      <c r="D142" s="2">
        <f t="shared" si="29"/>
        <v>1080000</v>
      </c>
      <c r="E142" s="41" t="s">
        <v>296</v>
      </c>
      <c r="F142" s="47" t="s">
        <v>315</v>
      </c>
      <c r="G142" s="16" t="s">
        <v>59</v>
      </c>
      <c r="H142" s="16">
        <v>1</v>
      </c>
      <c r="I142" s="16">
        <f t="shared" si="44"/>
        <v>2</v>
      </c>
      <c r="J142" s="37">
        <v>44562</v>
      </c>
      <c r="K142" s="37">
        <v>44926</v>
      </c>
      <c r="L142" s="47">
        <f t="shared" si="25"/>
        <v>1</v>
      </c>
      <c r="M142" s="48"/>
      <c r="N142" s="14"/>
      <c r="O142" s="20">
        <f t="shared" si="15"/>
        <v>0</v>
      </c>
      <c r="P142" s="39">
        <v>0.2</v>
      </c>
      <c r="Q142" s="20">
        <f t="shared" si="30"/>
        <v>0</v>
      </c>
      <c r="R142" s="20">
        <f t="shared" si="31"/>
        <v>0</v>
      </c>
      <c r="S142" s="14">
        <f t="shared" si="45"/>
        <v>72</v>
      </c>
      <c r="T142" s="14">
        <f t="shared" si="46"/>
        <v>150</v>
      </c>
      <c r="U142" s="14">
        <f t="shared" si="41"/>
        <v>222</v>
      </c>
    </row>
    <row r="143" spans="1:21" s="7" customFormat="1" x14ac:dyDescent="0.3">
      <c r="A143" s="33" t="s">
        <v>46</v>
      </c>
      <c r="B143" s="36" t="s">
        <v>340</v>
      </c>
      <c r="C143" s="5">
        <v>36000</v>
      </c>
      <c r="D143" s="2">
        <f t="shared" si="29"/>
        <v>1080000</v>
      </c>
      <c r="E143" s="41" t="s">
        <v>296</v>
      </c>
      <c r="F143" s="47" t="s">
        <v>329</v>
      </c>
      <c r="G143" s="16" t="s">
        <v>59</v>
      </c>
      <c r="H143" s="16">
        <v>1</v>
      </c>
      <c r="I143" s="16">
        <f t="shared" si="44"/>
        <v>2</v>
      </c>
      <c r="J143" s="37">
        <v>44562</v>
      </c>
      <c r="K143" s="37">
        <v>44926</v>
      </c>
      <c r="L143" s="47">
        <f t="shared" si="25"/>
        <v>1</v>
      </c>
      <c r="M143" s="48"/>
      <c r="N143" s="14"/>
      <c r="O143" s="20">
        <f t="shared" si="15"/>
        <v>0</v>
      </c>
      <c r="P143" s="39">
        <v>0.2</v>
      </c>
      <c r="Q143" s="20">
        <f t="shared" si="30"/>
        <v>0</v>
      </c>
      <c r="R143" s="20">
        <f t="shared" si="31"/>
        <v>0</v>
      </c>
      <c r="S143" s="14">
        <f t="shared" si="45"/>
        <v>72</v>
      </c>
      <c r="T143" s="14">
        <f t="shared" si="46"/>
        <v>150</v>
      </c>
      <c r="U143" s="14">
        <f t="shared" si="41"/>
        <v>222</v>
      </c>
    </row>
    <row r="144" spans="1:21" s="7" customFormat="1" x14ac:dyDescent="0.3">
      <c r="A144" s="33" t="s">
        <v>46</v>
      </c>
      <c r="B144" s="36" t="s">
        <v>340</v>
      </c>
      <c r="C144" s="5">
        <v>36000</v>
      </c>
      <c r="D144" s="2">
        <f t="shared" si="29"/>
        <v>1080000</v>
      </c>
      <c r="E144" s="41" t="s">
        <v>296</v>
      </c>
      <c r="F144" s="47" t="s">
        <v>316</v>
      </c>
      <c r="G144" s="16" t="s">
        <v>59</v>
      </c>
      <c r="H144" s="16">
        <v>1</v>
      </c>
      <c r="I144" s="16">
        <f t="shared" si="44"/>
        <v>2</v>
      </c>
      <c r="J144" s="37">
        <v>44562</v>
      </c>
      <c r="K144" s="37">
        <v>44926</v>
      </c>
      <c r="L144" s="47">
        <f t="shared" si="25"/>
        <v>1</v>
      </c>
      <c r="M144" s="48"/>
      <c r="N144" s="14"/>
      <c r="O144" s="20">
        <f t="shared" si="15"/>
        <v>0</v>
      </c>
      <c r="P144" s="39">
        <v>0.2</v>
      </c>
      <c r="Q144" s="20">
        <f t="shared" si="30"/>
        <v>0</v>
      </c>
      <c r="R144" s="20">
        <f t="shared" si="31"/>
        <v>0</v>
      </c>
      <c r="S144" s="14">
        <f t="shared" si="45"/>
        <v>72</v>
      </c>
      <c r="T144" s="14">
        <f t="shared" si="46"/>
        <v>150</v>
      </c>
      <c r="U144" s="14">
        <f t="shared" si="41"/>
        <v>222</v>
      </c>
    </row>
    <row r="145" spans="1:21" s="7" customFormat="1" x14ac:dyDescent="0.3">
      <c r="A145" s="33" t="s">
        <v>46</v>
      </c>
      <c r="B145" s="36" t="s">
        <v>340</v>
      </c>
      <c r="C145" s="5">
        <v>36000</v>
      </c>
      <c r="D145" s="2">
        <f t="shared" si="29"/>
        <v>1080000</v>
      </c>
      <c r="E145" s="41" t="s">
        <v>296</v>
      </c>
      <c r="F145" s="47" t="s">
        <v>330</v>
      </c>
      <c r="G145" s="16" t="s">
        <v>59</v>
      </c>
      <c r="H145" s="16">
        <v>1</v>
      </c>
      <c r="I145" s="16">
        <f t="shared" si="44"/>
        <v>2</v>
      </c>
      <c r="J145" s="37">
        <v>44562</v>
      </c>
      <c r="K145" s="37">
        <v>44926</v>
      </c>
      <c r="L145" s="47">
        <f t="shared" si="25"/>
        <v>1</v>
      </c>
      <c r="M145" s="48"/>
      <c r="N145" s="14"/>
      <c r="O145" s="20">
        <f t="shared" si="15"/>
        <v>0</v>
      </c>
      <c r="P145" s="39">
        <v>0.2</v>
      </c>
      <c r="Q145" s="20">
        <f t="shared" si="30"/>
        <v>0</v>
      </c>
      <c r="R145" s="20">
        <f t="shared" si="31"/>
        <v>0</v>
      </c>
      <c r="S145" s="14">
        <f t="shared" si="45"/>
        <v>72</v>
      </c>
      <c r="T145" s="14">
        <f t="shared" si="46"/>
        <v>150</v>
      </c>
      <c r="U145" s="14">
        <f t="shared" si="41"/>
        <v>222</v>
      </c>
    </row>
    <row r="146" spans="1:21" s="7" customFormat="1" x14ac:dyDescent="0.3">
      <c r="A146" s="33" t="s">
        <v>46</v>
      </c>
      <c r="B146" s="36" t="s">
        <v>340</v>
      </c>
      <c r="C146" s="5">
        <v>36000</v>
      </c>
      <c r="D146" s="2">
        <f t="shared" si="29"/>
        <v>1080000</v>
      </c>
      <c r="E146" s="41" t="s">
        <v>296</v>
      </c>
      <c r="F146" s="47" t="s">
        <v>330</v>
      </c>
      <c r="G146" s="16" t="s">
        <v>59</v>
      </c>
      <c r="H146" s="16">
        <v>1</v>
      </c>
      <c r="I146" s="16">
        <f t="shared" si="44"/>
        <v>2</v>
      </c>
      <c r="J146" s="37">
        <v>44562</v>
      </c>
      <c r="K146" s="37">
        <v>44926</v>
      </c>
      <c r="L146" s="47">
        <f t="shared" si="25"/>
        <v>1</v>
      </c>
      <c r="M146" s="48"/>
      <c r="N146" s="14"/>
      <c r="O146" s="20">
        <f t="shared" si="15"/>
        <v>0</v>
      </c>
      <c r="P146" s="39">
        <v>0.2</v>
      </c>
      <c r="Q146" s="20">
        <f t="shared" si="30"/>
        <v>0</v>
      </c>
      <c r="R146" s="20">
        <f t="shared" si="31"/>
        <v>0</v>
      </c>
      <c r="S146" s="14">
        <f t="shared" si="45"/>
        <v>72</v>
      </c>
      <c r="T146" s="14">
        <f t="shared" si="46"/>
        <v>150</v>
      </c>
      <c r="U146" s="14">
        <f t="shared" si="41"/>
        <v>222</v>
      </c>
    </row>
    <row r="147" spans="1:21" s="7" customFormat="1" x14ac:dyDescent="0.3">
      <c r="A147" s="33" t="s">
        <v>46</v>
      </c>
      <c r="B147" s="36" t="s">
        <v>340</v>
      </c>
      <c r="C147" s="5">
        <v>36000</v>
      </c>
      <c r="D147" s="2">
        <f t="shared" si="29"/>
        <v>1080000</v>
      </c>
      <c r="E147" s="38" t="s">
        <v>296</v>
      </c>
      <c r="F147" s="47" t="s">
        <v>331</v>
      </c>
      <c r="G147" s="16" t="s">
        <v>59</v>
      </c>
      <c r="H147" s="16">
        <v>1</v>
      </c>
      <c r="I147" s="16">
        <f t="shared" si="44"/>
        <v>2</v>
      </c>
      <c r="J147" s="37">
        <v>44562</v>
      </c>
      <c r="K147" s="37">
        <v>44926</v>
      </c>
      <c r="L147" s="47">
        <f t="shared" si="25"/>
        <v>1</v>
      </c>
      <c r="M147" s="48"/>
      <c r="N147" s="14"/>
      <c r="O147" s="20">
        <f t="shared" si="15"/>
        <v>0</v>
      </c>
      <c r="P147" s="39">
        <v>0.2</v>
      </c>
      <c r="Q147" s="20">
        <f t="shared" si="30"/>
        <v>0</v>
      </c>
      <c r="R147" s="20">
        <f t="shared" si="31"/>
        <v>0</v>
      </c>
      <c r="S147" s="14">
        <f t="shared" si="45"/>
        <v>72</v>
      </c>
      <c r="T147" s="14">
        <f t="shared" si="46"/>
        <v>150</v>
      </c>
      <c r="U147" s="14">
        <f t="shared" si="41"/>
        <v>222</v>
      </c>
    </row>
    <row r="148" spans="1:21" s="7" customFormat="1" x14ac:dyDescent="0.3">
      <c r="A148" s="33" t="s">
        <v>46</v>
      </c>
      <c r="B148" s="36" t="s">
        <v>340</v>
      </c>
      <c r="C148" s="5">
        <v>36000</v>
      </c>
      <c r="D148" s="2">
        <f t="shared" si="29"/>
        <v>1080000</v>
      </c>
      <c r="E148" s="38" t="s">
        <v>296</v>
      </c>
      <c r="F148" s="47" t="s">
        <v>331</v>
      </c>
      <c r="G148" s="16" t="s">
        <v>59</v>
      </c>
      <c r="H148" s="16">
        <v>1</v>
      </c>
      <c r="I148" s="16">
        <f t="shared" si="44"/>
        <v>2</v>
      </c>
      <c r="J148" s="37">
        <v>44562</v>
      </c>
      <c r="K148" s="37">
        <v>44926</v>
      </c>
      <c r="L148" s="47">
        <f t="shared" si="25"/>
        <v>1</v>
      </c>
      <c r="M148" s="48"/>
      <c r="N148" s="14"/>
      <c r="O148" s="20">
        <f t="shared" si="15"/>
        <v>0</v>
      </c>
      <c r="P148" s="39">
        <v>0.2</v>
      </c>
      <c r="Q148" s="20">
        <f t="shared" si="30"/>
        <v>0</v>
      </c>
      <c r="R148" s="20">
        <f t="shared" si="31"/>
        <v>0</v>
      </c>
      <c r="S148" s="14">
        <f t="shared" si="45"/>
        <v>72</v>
      </c>
      <c r="T148" s="14">
        <f t="shared" si="46"/>
        <v>150</v>
      </c>
      <c r="U148" s="14">
        <f t="shared" si="41"/>
        <v>222</v>
      </c>
    </row>
    <row r="149" spans="1:21" s="7" customFormat="1" x14ac:dyDescent="0.3">
      <c r="A149" s="33" t="s">
        <v>46</v>
      </c>
      <c r="B149" s="36" t="s">
        <v>340</v>
      </c>
      <c r="C149" s="5">
        <v>36000</v>
      </c>
      <c r="D149" s="2">
        <f t="shared" si="29"/>
        <v>1080000</v>
      </c>
      <c r="E149" s="47" t="s">
        <v>296</v>
      </c>
      <c r="F149" s="47" t="s">
        <v>332</v>
      </c>
      <c r="G149" s="16" t="s">
        <v>59</v>
      </c>
      <c r="H149" s="16">
        <v>1</v>
      </c>
      <c r="I149" s="16">
        <f t="shared" si="44"/>
        <v>2</v>
      </c>
      <c r="J149" s="37">
        <v>44562</v>
      </c>
      <c r="K149" s="37">
        <v>44926</v>
      </c>
      <c r="L149" s="47">
        <f t="shared" si="25"/>
        <v>1</v>
      </c>
      <c r="M149" s="48"/>
      <c r="N149" s="14"/>
      <c r="O149" s="20">
        <f t="shared" si="15"/>
        <v>0</v>
      </c>
      <c r="P149" s="39">
        <v>0.2</v>
      </c>
      <c r="Q149" s="20">
        <f t="shared" si="30"/>
        <v>0</v>
      </c>
      <c r="R149" s="20">
        <f t="shared" si="31"/>
        <v>0</v>
      </c>
      <c r="S149" s="14">
        <f t="shared" si="45"/>
        <v>72</v>
      </c>
      <c r="T149" s="14">
        <f t="shared" si="46"/>
        <v>150</v>
      </c>
      <c r="U149" s="14">
        <f t="shared" si="41"/>
        <v>222</v>
      </c>
    </row>
    <row r="150" spans="1:21" s="7" customFormat="1" x14ac:dyDescent="0.3">
      <c r="A150" s="33" t="s">
        <v>46</v>
      </c>
      <c r="B150" s="36" t="s">
        <v>340</v>
      </c>
      <c r="C150" s="5">
        <v>36000</v>
      </c>
      <c r="D150" s="2">
        <f t="shared" si="29"/>
        <v>1080000</v>
      </c>
      <c r="E150" s="47" t="s">
        <v>296</v>
      </c>
      <c r="F150" s="47" t="s">
        <v>332</v>
      </c>
      <c r="G150" s="16" t="s">
        <v>59</v>
      </c>
      <c r="H150" s="16">
        <v>1</v>
      </c>
      <c r="I150" s="16">
        <f t="shared" si="44"/>
        <v>2</v>
      </c>
      <c r="J150" s="37">
        <v>44562</v>
      </c>
      <c r="K150" s="37">
        <v>44926</v>
      </c>
      <c r="L150" s="47">
        <f t="shared" si="25"/>
        <v>1</v>
      </c>
      <c r="M150" s="48"/>
      <c r="N150" s="14"/>
      <c r="O150" s="20">
        <f t="shared" si="15"/>
        <v>0</v>
      </c>
      <c r="P150" s="39">
        <v>0.2</v>
      </c>
      <c r="Q150" s="20">
        <f t="shared" si="30"/>
        <v>0</v>
      </c>
      <c r="R150" s="20">
        <f t="shared" si="31"/>
        <v>0</v>
      </c>
      <c r="S150" s="14">
        <f t="shared" si="45"/>
        <v>72</v>
      </c>
      <c r="T150" s="14">
        <f t="shared" si="46"/>
        <v>150</v>
      </c>
      <c r="U150" s="14">
        <f t="shared" si="41"/>
        <v>222</v>
      </c>
    </row>
    <row r="151" spans="1:21" s="7" customFormat="1" x14ac:dyDescent="0.3">
      <c r="A151" s="33" t="s">
        <v>46</v>
      </c>
      <c r="B151" s="36" t="s">
        <v>340</v>
      </c>
      <c r="C151" s="5">
        <v>36000</v>
      </c>
      <c r="D151" s="2">
        <f t="shared" si="29"/>
        <v>1080000</v>
      </c>
      <c r="E151" s="38" t="s">
        <v>384</v>
      </c>
      <c r="F151" s="47" t="s">
        <v>333</v>
      </c>
      <c r="G151" s="16" t="s">
        <v>385</v>
      </c>
      <c r="H151" s="16">
        <v>1</v>
      </c>
      <c r="I151" s="16">
        <f>H151</f>
        <v>1</v>
      </c>
      <c r="J151" s="37">
        <v>44562</v>
      </c>
      <c r="K151" s="37">
        <v>44926</v>
      </c>
      <c r="L151" s="47">
        <f t="shared" si="25"/>
        <v>1</v>
      </c>
      <c r="M151" s="48"/>
      <c r="N151" s="14"/>
      <c r="O151" s="20">
        <f t="shared" si="15"/>
        <v>0</v>
      </c>
      <c r="P151" s="39">
        <v>0.2</v>
      </c>
      <c r="Q151" s="20">
        <f t="shared" si="30"/>
        <v>0</v>
      </c>
      <c r="R151" s="20">
        <f t="shared" si="31"/>
        <v>0</v>
      </c>
      <c r="S151" s="14">
        <f t="shared" si="45"/>
        <v>72</v>
      </c>
      <c r="T151" s="14">
        <f t="shared" si="46"/>
        <v>150</v>
      </c>
      <c r="U151" s="14">
        <f t="shared" si="41"/>
        <v>222</v>
      </c>
    </row>
    <row r="152" spans="1:21" s="7" customFormat="1" x14ac:dyDescent="0.3">
      <c r="A152" s="33" t="s">
        <v>46</v>
      </c>
      <c r="B152" s="36" t="s">
        <v>340</v>
      </c>
      <c r="C152" s="5">
        <v>36000</v>
      </c>
      <c r="D152" s="2">
        <f t="shared" si="29"/>
        <v>1080000</v>
      </c>
      <c r="E152" s="38" t="s">
        <v>347</v>
      </c>
      <c r="F152" s="47" t="s">
        <v>391</v>
      </c>
      <c r="G152" s="16" t="s">
        <v>346</v>
      </c>
      <c r="H152" s="16">
        <v>1</v>
      </c>
      <c r="I152" s="16">
        <f>H152*3</f>
        <v>3</v>
      </c>
      <c r="J152" s="37">
        <v>44562</v>
      </c>
      <c r="K152" s="37">
        <v>44926</v>
      </c>
      <c r="L152" s="47">
        <f t="shared" si="25"/>
        <v>1</v>
      </c>
      <c r="M152" s="48"/>
      <c r="N152" s="14"/>
      <c r="O152" s="20">
        <f t="shared" si="15"/>
        <v>0</v>
      </c>
      <c r="P152" s="39">
        <v>0.2</v>
      </c>
      <c r="Q152" s="20">
        <f t="shared" si="30"/>
        <v>0</v>
      </c>
      <c r="R152" s="20">
        <f t="shared" si="31"/>
        <v>0</v>
      </c>
      <c r="S152" s="14">
        <f>H152*105</f>
        <v>105</v>
      </c>
      <c r="T152" s="14">
        <f>H152*90</f>
        <v>90</v>
      </c>
      <c r="U152" s="14">
        <f t="shared" si="41"/>
        <v>195</v>
      </c>
    </row>
    <row r="153" spans="1:21" s="7" customFormat="1" x14ac:dyDescent="0.3">
      <c r="A153" s="33" t="s">
        <v>46</v>
      </c>
      <c r="B153" s="36" t="s">
        <v>340</v>
      </c>
      <c r="C153" s="5">
        <v>36000</v>
      </c>
      <c r="D153" s="2">
        <f t="shared" si="29"/>
        <v>1080000</v>
      </c>
      <c r="E153" s="38" t="s">
        <v>347</v>
      </c>
      <c r="F153" s="47" t="s">
        <v>392</v>
      </c>
      <c r="G153" s="16" t="s">
        <v>346</v>
      </c>
      <c r="H153" s="16">
        <v>1</v>
      </c>
      <c r="I153" s="16">
        <f>H153*3</f>
        <v>3</v>
      </c>
      <c r="J153" s="37">
        <v>44562</v>
      </c>
      <c r="K153" s="37">
        <v>44926</v>
      </c>
      <c r="L153" s="47">
        <f t="shared" si="25"/>
        <v>1</v>
      </c>
      <c r="M153" s="48"/>
      <c r="N153" s="14"/>
      <c r="O153" s="20">
        <f t="shared" si="15"/>
        <v>0</v>
      </c>
      <c r="P153" s="39">
        <v>0.2</v>
      </c>
      <c r="Q153" s="20">
        <f t="shared" ref="Q153:Q170" si="47">M153-M153*P153</f>
        <v>0</v>
      </c>
      <c r="R153" s="20">
        <f t="shared" ref="R153:R170" si="48">O153-O153*P153</f>
        <v>0</v>
      </c>
      <c r="S153" s="14">
        <f>H153*105</f>
        <v>105</v>
      </c>
      <c r="T153" s="14">
        <f>H153*90</f>
        <v>90</v>
      </c>
      <c r="U153" s="14">
        <f t="shared" si="41"/>
        <v>195</v>
      </c>
    </row>
    <row r="154" spans="1:21" s="7" customFormat="1" x14ac:dyDescent="0.3">
      <c r="A154" s="33" t="s">
        <v>46</v>
      </c>
      <c r="B154" s="36" t="s">
        <v>340</v>
      </c>
      <c r="C154" s="5">
        <v>36000</v>
      </c>
      <c r="D154" s="2">
        <f t="shared" si="29"/>
        <v>1080000</v>
      </c>
      <c r="E154" s="38" t="s">
        <v>386</v>
      </c>
      <c r="F154" s="47" t="s">
        <v>387</v>
      </c>
      <c r="G154" s="16">
        <v>120</v>
      </c>
      <c r="H154" s="16">
        <v>1</v>
      </c>
      <c r="I154" s="16">
        <f>H154</f>
        <v>1</v>
      </c>
      <c r="J154" s="37">
        <v>44562</v>
      </c>
      <c r="K154" s="37">
        <v>44926</v>
      </c>
      <c r="L154" s="47">
        <f t="shared" ref="L154" si="49">D$4</f>
        <v>1</v>
      </c>
      <c r="M154" s="48"/>
      <c r="N154" s="14"/>
      <c r="O154" s="20">
        <f t="shared" ref="O154" si="50">H154*L154*M154</f>
        <v>0</v>
      </c>
      <c r="P154" s="39">
        <v>0.2</v>
      </c>
      <c r="Q154" s="20">
        <f t="shared" ref="Q154" si="51">M154-M154*P154</f>
        <v>0</v>
      </c>
      <c r="R154" s="20">
        <f t="shared" ref="R154" si="52">O154-O154*P154</f>
        <v>0</v>
      </c>
      <c r="S154" s="14">
        <f>G154*8</f>
        <v>960</v>
      </c>
      <c r="T154" s="14">
        <f>G154*8</f>
        <v>960</v>
      </c>
      <c r="U154" s="14">
        <f t="shared" ref="U154" si="53">R154+S154+T154</f>
        <v>1920</v>
      </c>
    </row>
    <row r="155" spans="1:21" s="7" customFormat="1" x14ac:dyDescent="0.3">
      <c r="A155" s="33" t="s">
        <v>46</v>
      </c>
      <c r="B155" s="36" t="s">
        <v>340</v>
      </c>
      <c r="C155" s="5">
        <v>36000</v>
      </c>
      <c r="D155" s="2">
        <f t="shared" si="29"/>
        <v>1080000</v>
      </c>
      <c r="E155" s="38" t="s">
        <v>347</v>
      </c>
      <c r="F155" s="47" t="s">
        <v>388</v>
      </c>
      <c r="G155" s="16" t="s">
        <v>346</v>
      </c>
      <c r="H155" s="16">
        <v>1</v>
      </c>
      <c r="I155" s="16">
        <f t="shared" ref="I155:I157" si="54">H155*3</f>
        <v>3</v>
      </c>
      <c r="J155" s="37">
        <v>44562</v>
      </c>
      <c r="K155" s="37">
        <v>44926</v>
      </c>
      <c r="L155" s="47">
        <f t="shared" si="25"/>
        <v>1</v>
      </c>
      <c r="M155" s="48"/>
      <c r="N155" s="14"/>
      <c r="O155" s="20">
        <f t="shared" si="15"/>
        <v>0</v>
      </c>
      <c r="P155" s="39">
        <v>0.2</v>
      </c>
      <c r="Q155" s="20">
        <f t="shared" si="47"/>
        <v>0</v>
      </c>
      <c r="R155" s="20">
        <f t="shared" si="48"/>
        <v>0</v>
      </c>
      <c r="S155" s="14">
        <f t="shared" ref="S155:S157" si="55">H155*105</f>
        <v>105</v>
      </c>
      <c r="T155" s="14">
        <f t="shared" ref="T155:T157" si="56">H155*90</f>
        <v>90</v>
      </c>
      <c r="U155" s="14">
        <f t="shared" si="41"/>
        <v>195</v>
      </c>
    </row>
    <row r="156" spans="1:21" s="7" customFormat="1" x14ac:dyDescent="0.3">
      <c r="A156" s="33" t="s">
        <v>46</v>
      </c>
      <c r="B156" s="36" t="s">
        <v>340</v>
      </c>
      <c r="C156" s="5">
        <v>36000</v>
      </c>
      <c r="D156" s="2">
        <f t="shared" si="29"/>
        <v>1080000</v>
      </c>
      <c r="E156" s="38" t="s">
        <v>347</v>
      </c>
      <c r="F156" s="47" t="s">
        <v>389</v>
      </c>
      <c r="G156" s="16" t="s">
        <v>346</v>
      </c>
      <c r="H156" s="16">
        <v>1</v>
      </c>
      <c r="I156" s="16">
        <f t="shared" si="54"/>
        <v>3</v>
      </c>
      <c r="J156" s="37">
        <v>44562</v>
      </c>
      <c r="K156" s="37">
        <v>44926</v>
      </c>
      <c r="L156" s="47">
        <f t="shared" si="25"/>
        <v>1</v>
      </c>
      <c r="M156" s="48"/>
      <c r="N156" s="14"/>
      <c r="O156" s="20">
        <f t="shared" si="15"/>
        <v>0</v>
      </c>
      <c r="P156" s="39">
        <v>0.2</v>
      </c>
      <c r="Q156" s="20">
        <f t="shared" si="47"/>
        <v>0</v>
      </c>
      <c r="R156" s="20">
        <f t="shared" si="48"/>
        <v>0</v>
      </c>
      <c r="S156" s="14">
        <f t="shared" si="55"/>
        <v>105</v>
      </c>
      <c r="T156" s="14">
        <f t="shared" si="56"/>
        <v>90</v>
      </c>
      <c r="U156" s="14">
        <f t="shared" si="41"/>
        <v>195</v>
      </c>
    </row>
    <row r="157" spans="1:21" s="7" customFormat="1" x14ac:dyDescent="0.3">
      <c r="A157" s="33" t="s">
        <v>46</v>
      </c>
      <c r="B157" s="36" t="s">
        <v>340</v>
      </c>
      <c r="C157" s="5">
        <v>36000</v>
      </c>
      <c r="D157" s="2">
        <f t="shared" si="29"/>
        <v>1080000</v>
      </c>
      <c r="E157" s="38" t="s">
        <v>347</v>
      </c>
      <c r="F157" s="47" t="s">
        <v>390</v>
      </c>
      <c r="G157" s="16" t="s">
        <v>346</v>
      </c>
      <c r="H157" s="16">
        <v>1</v>
      </c>
      <c r="I157" s="16">
        <f t="shared" si="54"/>
        <v>3</v>
      </c>
      <c r="J157" s="37">
        <v>44562</v>
      </c>
      <c r="K157" s="37">
        <v>44926</v>
      </c>
      <c r="L157" s="47">
        <f t="shared" si="25"/>
        <v>1</v>
      </c>
      <c r="M157" s="48"/>
      <c r="N157" s="14"/>
      <c r="O157" s="20">
        <f t="shared" si="15"/>
        <v>0</v>
      </c>
      <c r="P157" s="39">
        <v>0.2</v>
      </c>
      <c r="Q157" s="20">
        <f t="shared" si="47"/>
        <v>0</v>
      </c>
      <c r="R157" s="20">
        <f t="shared" si="48"/>
        <v>0</v>
      </c>
      <c r="S157" s="14">
        <f t="shared" si="55"/>
        <v>105</v>
      </c>
      <c r="T157" s="14">
        <f t="shared" si="56"/>
        <v>90</v>
      </c>
      <c r="U157" s="14">
        <f t="shared" si="41"/>
        <v>195</v>
      </c>
    </row>
    <row r="158" spans="1:21" s="7" customFormat="1" x14ac:dyDescent="0.3">
      <c r="A158" s="33" t="s">
        <v>46</v>
      </c>
      <c r="B158" s="36" t="s">
        <v>340</v>
      </c>
      <c r="C158" s="5">
        <v>36000</v>
      </c>
      <c r="D158" s="2">
        <f t="shared" si="29"/>
        <v>1080000</v>
      </c>
      <c r="E158" s="41" t="s">
        <v>398</v>
      </c>
      <c r="F158" s="47" t="s">
        <v>399</v>
      </c>
      <c r="G158" s="16">
        <v>1</v>
      </c>
      <c r="H158" s="16">
        <v>5</v>
      </c>
      <c r="I158" s="16">
        <f t="shared" ref="I158" si="57">H158</f>
        <v>5</v>
      </c>
      <c r="J158" s="37">
        <v>44562</v>
      </c>
      <c r="K158" s="37">
        <v>44926</v>
      </c>
      <c r="L158" s="47">
        <f t="shared" si="25"/>
        <v>1</v>
      </c>
      <c r="M158" s="48"/>
      <c r="N158" s="14"/>
      <c r="O158" s="20">
        <f t="shared" si="15"/>
        <v>0</v>
      </c>
      <c r="P158" s="39">
        <v>0.2</v>
      </c>
      <c r="Q158" s="20">
        <f t="shared" si="47"/>
        <v>0</v>
      </c>
      <c r="R158" s="20">
        <f t="shared" si="48"/>
        <v>0</v>
      </c>
      <c r="S158" s="53">
        <f>I158*30</f>
        <v>150</v>
      </c>
      <c r="T158" s="53">
        <f>I158*30</f>
        <v>150</v>
      </c>
      <c r="U158" s="14">
        <f t="shared" si="41"/>
        <v>300</v>
      </c>
    </row>
    <row r="159" spans="1:21" s="7" customFormat="1" x14ac:dyDescent="0.3">
      <c r="A159" s="33" t="s">
        <v>46</v>
      </c>
      <c r="B159" s="36" t="s">
        <v>340</v>
      </c>
      <c r="C159" s="5">
        <v>36000</v>
      </c>
      <c r="D159" s="2">
        <f t="shared" ref="D159:D170" si="58">C159*30</f>
        <v>1080000</v>
      </c>
      <c r="E159" s="38" t="s">
        <v>115</v>
      </c>
      <c r="F159" s="47" t="s">
        <v>400</v>
      </c>
      <c r="G159" s="16" t="s">
        <v>397</v>
      </c>
      <c r="H159" s="16">
        <v>1</v>
      </c>
      <c r="I159" s="16"/>
      <c r="J159" s="37">
        <v>44562</v>
      </c>
      <c r="K159" s="37">
        <v>44926</v>
      </c>
      <c r="L159" s="47">
        <f t="shared" ref="L159:L162" si="59">D$4</f>
        <v>1</v>
      </c>
      <c r="M159" s="48"/>
      <c r="N159" s="14"/>
      <c r="O159" s="20">
        <f t="shared" ref="O159:O162" si="60">H159*L159*M159</f>
        <v>0</v>
      </c>
      <c r="P159" s="39">
        <v>0.2</v>
      </c>
      <c r="Q159" s="20">
        <f t="shared" ref="Q159:Q162" si="61">M159-M159*P159</f>
        <v>0</v>
      </c>
      <c r="R159" s="20">
        <f t="shared" ref="R159:R162" si="62">O159-O159*P159</f>
        <v>0</v>
      </c>
      <c r="S159" s="14">
        <f>H159*10</f>
        <v>10</v>
      </c>
      <c r="T159" s="14">
        <f>H159*60</f>
        <v>60</v>
      </c>
      <c r="U159" s="14">
        <f t="shared" ref="U159:U162" si="63">R159+S159+T159</f>
        <v>70</v>
      </c>
    </row>
    <row r="160" spans="1:21" s="7" customFormat="1" x14ac:dyDescent="0.3">
      <c r="A160" s="33" t="s">
        <v>46</v>
      </c>
      <c r="B160" s="36" t="s">
        <v>340</v>
      </c>
      <c r="C160" s="5">
        <v>36000</v>
      </c>
      <c r="D160" s="2">
        <f t="shared" si="58"/>
        <v>1080000</v>
      </c>
      <c r="E160" s="38" t="s">
        <v>115</v>
      </c>
      <c r="F160" s="47" t="s">
        <v>402</v>
      </c>
      <c r="G160" s="16" t="s">
        <v>397</v>
      </c>
      <c r="H160" s="16">
        <v>1</v>
      </c>
      <c r="I160" s="16"/>
      <c r="J160" s="37">
        <v>44562</v>
      </c>
      <c r="K160" s="37">
        <v>44926</v>
      </c>
      <c r="L160" s="47">
        <f t="shared" si="59"/>
        <v>1</v>
      </c>
      <c r="M160" s="48"/>
      <c r="N160" s="14"/>
      <c r="O160" s="20">
        <f t="shared" si="60"/>
        <v>0</v>
      </c>
      <c r="P160" s="39">
        <v>0.2</v>
      </c>
      <c r="Q160" s="20">
        <f t="shared" si="61"/>
        <v>0</v>
      </c>
      <c r="R160" s="20">
        <f t="shared" si="62"/>
        <v>0</v>
      </c>
      <c r="S160" s="14">
        <f t="shared" ref="S160:S166" si="64">H160*10</f>
        <v>10</v>
      </c>
      <c r="T160" s="14">
        <f t="shared" ref="T160:T166" si="65">H160*60</f>
        <v>60</v>
      </c>
      <c r="U160" s="14">
        <f t="shared" si="63"/>
        <v>70</v>
      </c>
    </row>
    <row r="161" spans="1:21" s="7" customFormat="1" x14ac:dyDescent="0.3">
      <c r="A161" s="33" t="s">
        <v>46</v>
      </c>
      <c r="B161" s="36" t="s">
        <v>340</v>
      </c>
      <c r="C161" s="5">
        <v>36000</v>
      </c>
      <c r="D161" s="2">
        <f t="shared" si="58"/>
        <v>1080000</v>
      </c>
      <c r="E161" s="38" t="s">
        <v>115</v>
      </c>
      <c r="F161" s="47" t="s">
        <v>403</v>
      </c>
      <c r="G161" s="16" t="s">
        <v>397</v>
      </c>
      <c r="H161" s="16">
        <v>1</v>
      </c>
      <c r="I161" s="16"/>
      <c r="J161" s="37">
        <v>44562</v>
      </c>
      <c r="K161" s="37">
        <v>44926</v>
      </c>
      <c r="L161" s="47">
        <f t="shared" si="59"/>
        <v>1</v>
      </c>
      <c r="M161" s="48"/>
      <c r="N161" s="14"/>
      <c r="O161" s="20">
        <f t="shared" si="60"/>
        <v>0</v>
      </c>
      <c r="P161" s="39">
        <v>0.2</v>
      </c>
      <c r="Q161" s="20">
        <f t="shared" si="61"/>
        <v>0</v>
      </c>
      <c r="R161" s="20">
        <f t="shared" si="62"/>
        <v>0</v>
      </c>
      <c r="S161" s="14">
        <f t="shared" si="64"/>
        <v>10</v>
      </c>
      <c r="T161" s="14">
        <f t="shared" si="65"/>
        <v>60</v>
      </c>
      <c r="U161" s="14">
        <f t="shared" si="63"/>
        <v>70</v>
      </c>
    </row>
    <row r="162" spans="1:21" s="7" customFormat="1" x14ac:dyDescent="0.3">
      <c r="A162" s="33" t="s">
        <v>46</v>
      </c>
      <c r="B162" s="36" t="s">
        <v>340</v>
      </c>
      <c r="C162" s="5">
        <v>36000</v>
      </c>
      <c r="D162" s="2">
        <f t="shared" si="58"/>
        <v>1080000</v>
      </c>
      <c r="E162" s="38" t="s">
        <v>115</v>
      </c>
      <c r="F162" s="47" t="s">
        <v>401</v>
      </c>
      <c r="G162" s="16" t="s">
        <v>397</v>
      </c>
      <c r="H162" s="16">
        <v>1</v>
      </c>
      <c r="I162" s="16"/>
      <c r="J162" s="37">
        <v>44562</v>
      </c>
      <c r="K162" s="37">
        <v>44926</v>
      </c>
      <c r="L162" s="47">
        <f t="shared" si="59"/>
        <v>1</v>
      </c>
      <c r="M162" s="48"/>
      <c r="N162" s="14"/>
      <c r="O162" s="20">
        <f t="shared" si="60"/>
        <v>0</v>
      </c>
      <c r="P162" s="39">
        <v>0.2</v>
      </c>
      <c r="Q162" s="20">
        <f t="shared" si="61"/>
        <v>0</v>
      </c>
      <c r="R162" s="20">
        <f t="shared" si="62"/>
        <v>0</v>
      </c>
      <c r="S162" s="14">
        <f t="shared" si="64"/>
        <v>10</v>
      </c>
      <c r="T162" s="14">
        <f t="shared" si="65"/>
        <v>60</v>
      </c>
      <c r="U162" s="14">
        <f t="shared" si="63"/>
        <v>70</v>
      </c>
    </row>
    <row r="163" spans="1:21" s="7" customFormat="1" x14ac:dyDescent="0.3">
      <c r="A163" s="33" t="s">
        <v>46</v>
      </c>
      <c r="B163" s="36" t="s">
        <v>340</v>
      </c>
      <c r="C163" s="5">
        <v>36000</v>
      </c>
      <c r="D163" s="2">
        <f t="shared" si="58"/>
        <v>1080000</v>
      </c>
      <c r="E163" s="38" t="s">
        <v>115</v>
      </c>
      <c r="F163" s="47" t="s">
        <v>406</v>
      </c>
      <c r="G163" s="16" t="s">
        <v>397</v>
      </c>
      <c r="H163" s="16">
        <v>1</v>
      </c>
      <c r="I163" s="16"/>
      <c r="J163" s="37">
        <v>44562</v>
      </c>
      <c r="K163" s="37">
        <v>44926</v>
      </c>
      <c r="L163" s="47">
        <f t="shared" si="25"/>
        <v>1</v>
      </c>
      <c r="M163" s="48"/>
      <c r="N163" s="14"/>
      <c r="O163" s="20">
        <f t="shared" si="15"/>
        <v>0</v>
      </c>
      <c r="P163" s="39">
        <v>0.2</v>
      </c>
      <c r="Q163" s="20">
        <f t="shared" si="47"/>
        <v>0</v>
      </c>
      <c r="R163" s="20">
        <f t="shared" si="48"/>
        <v>0</v>
      </c>
      <c r="S163" s="14">
        <f t="shared" si="64"/>
        <v>10</v>
      </c>
      <c r="T163" s="14">
        <f t="shared" si="65"/>
        <v>60</v>
      </c>
      <c r="U163" s="14">
        <f t="shared" si="41"/>
        <v>70</v>
      </c>
    </row>
    <row r="164" spans="1:21" s="7" customFormat="1" x14ac:dyDescent="0.3">
      <c r="A164" s="33" t="s">
        <v>46</v>
      </c>
      <c r="B164" s="36" t="s">
        <v>340</v>
      </c>
      <c r="C164" s="5">
        <v>36000</v>
      </c>
      <c r="D164" s="2">
        <f t="shared" si="58"/>
        <v>1080000</v>
      </c>
      <c r="E164" s="38" t="s">
        <v>115</v>
      </c>
      <c r="F164" s="47" t="s">
        <v>407</v>
      </c>
      <c r="G164" s="16" t="s">
        <v>397</v>
      </c>
      <c r="H164" s="16">
        <v>1</v>
      </c>
      <c r="I164" s="16"/>
      <c r="J164" s="37">
        <v>44562</v>
      </c>
      <c r="K164" s="37">
        <v>44926</v>
      </c>
      <c r="L164" s="47">
        <f t="shared" ref="L164" si="66">D$4</f>
        <v>1</v>
      </c>
      <c r="M164" s="48"/>
      <c r="N164" s="14"/>
      <c r="O164" s="20">
        <f t="shared" ref="O164" si="67">H164*L164*M164</f>
        <v>0</v>
      </c>
      <c r="P164" s="39">
        <v>0.2</v>
      </c>
      <c r="Q164" s="20">
        <f t="shared" ref="Q164" si="68">M164-M164*P164</f>
        <v>0</v>
      </c>
      <c r="R164" s="20">
        <f t="shared" ref="R164" si="69">O164-O164*P164</f>
        <v>0</v>
      </c>
      <c r="S164" s="14">
        <f t="shared" si="64"/>
        <v>10</v>
      </c>
      <c r="T164" s="14">
        <f t="shared" si="65"/>
        <v>60</v>
      </c>
      <c r="U164" s="14">
        <f t="shared" ref="U164" si="70">R164+S164+T164</f>
        <v>70</v>
      </c>
    </row>
    <row r="165" spans="1:21" s="7" customFormat="1" x14ac:dyDescent="0.3">
      <c r="A165" s="33" t="s">
        <v>46</v>
      </c>
      <c r="B165" s="36" t="s">
        <v>340</v>
      </c>
      <c r="C165" s="5">
        <v>36000</v>
      </c>
      <c r="D165" s="2">
        <f t="shared" si="58"/>
        <v>1080000</v>
      </c>
      <c r="E165" s="38" t="s">
        <v>115</v>
      </c>
      <c r="F165" s="47" t="s">
        <v>404</v>
      </c>
      <c r="G165" s="16" t="s">
        <v>397</v>
      </c>
      <c r="H165" s="16">
        <v>1</v>
      </c>
      <c r="I165" s="16"/>
      <c r="J165" s="37">
        <v>44562</v>
      </c>
      <c r="K165" s="37">
        <v>44926</v>
      </c>
      <c r="L165" s="47">
        <f t="shared" ref="L165" si="71">D$4</f>
        <v>1</v>
      </c>
      <c r="M165" s="48"/>
      <c r="N165" s="14"/>
      <c r="O165" s="20">
        <f t="shared" ref="O165" si="72">H165*L165*M165</f>
        <v>0</v>
      </c>
      <c r="P165" s="39">
        <v>0.2</v>
      </c>
      <c r="Q165" s="20">
        <f t="shared" ref="Q165" si="73">M165-M165*P165</f>
        <v>0</v>
      </c>
      <c r="R165" s="20">
        <f t="shared" ref="R165" si="74">O165-O165*P165</f>
        <v>0</v>
      </c>
      <c r="S165" s="14">
        <f t="shared" si="64"/>
        <v>10</v>
      </c>
      <c r="T165" s="14">
        <f t="shared" si="65"/>
        <v>60</v>
      </c>
      <c r="U165" s="14">
        <f t="shared" ref="U165" si="75">R165+S165+T165</f>
        <v>70</v>
      </c>
    </row>
    <row r="166" spans="1:21" s="7" customFormat="1" x14ac:dyDescent="0.3">
      <c r="A166" s="33" t="s">
        <v>46</v>
      </c>
      <c r="B166" s="36" t="s">
        <v>340</v>
      </c>
      <c r="C166" s="5">
        <v>36000</v>
      </c>
      <c r="D166" s="2">
        <f t="shared" si="58"/>
        <v>1080000</v>
      </c>
      <c r="E166" s="38" t="s">
        <v>115</v>
      </c>
      <c r="F166" s="47" t="s">
        <v>405</v>
      </c>
      <c r="G166" s="16" t="s">
        <v>397</v>
      </c>
      <c r="H166" s="16">
        <v>1</v>
      </c>
      <c r="I166" s="16"/>
      <c r="J166" s="37">
        <v>44562</v>
      </c>
      <c r="K166" s="37">
        <v>44926</v>
      </c>
      <c r="L166" s="47">
        <f t="shared" si="25"/>
        <v>1</v>
      </c>
      <c r="M166" s="48"/>
      <c r="N166" s="14"/>
      <c r="O166" s="20">
        <f t="shared" si="15"/>
        <v>0</v>
      </c>
      <c r="P166" s="39">
        <v>0.2</v>
      </c>
      <c r="Q166" s="20">
        <f t="shared" si="47"/>
        <v>0</v>
      </c>
      <c r="R166" s="20">
        <f t="shared" si="48"/>
        <v>0</v>
      </c>
      <c r="S166" s="14">
        <f t="shared" si="64"/>
        <v>10</v>
      </c>
      <c r="T166" s="14">
        <f t="shared" si="65"/>
        <v>60</v>
      </c>
      <c r="U166" s="14">
        <f t="shared" si="41"/>
        <v>70</v>
      </c>
    </row>
    <row r="167" spans="1:21" s="7" customFormat="1" x14ac:dyDescent="0.3">
      <c r="A167" s="33" t="s">
        <v>46</v>
      </c>
      <c r="B167" s="36" t="s">
        <v>340</v>
      </c>
      <c r="C167" s="5">
        <v>36000</v>
      </c>
      <c r="D167" s="2">
        <f t="shared" si="58"/>
        <v>1080000</v>
      </c>
      <c r="E167" s="41" t="s">
        <v>117</v>
      </c>
      <c r="F167" s="47" t="s">
        <v>118</v>
      </c>
      <c r="G167" s="16" t="s">
        <v>397</v>
      </c>
      <c r="H167" s="16">
        <v>150</v>
      </c>
      <c r="I167" s="16">
        <f>H167</f>
        <v>150</v>
      </c>
      <c r="J167" s="37">
        <v>44562</v>
      </c>
      <c r="K167" s="37">
        <v>44926</v>
      </c>
      <c r="L167" s="47">
        <f t="shared" si="25"/>
        <v>1</v>
      </c>
      <c r="M167" s="48"/>
      <c r="N167" s="14"/>
      <c r="O167" s="20">
        <f t="shared" si="15"/>
        <v>0</v>
      </c>
      <c r="P167" s="39">
        <v>0.2</v>
      </c>
      <c r="Q167" s="20">
        <f t="shared" si="47"/>
        <v>0</v>
      </c>
      <c r="R167" s="20">
        <f t="shared" si="48"/>
        <v>0</v>
      </c>
      <c r="S167" s="53">
        <f>I167*1</f>
        <v>150</v>
      </c>
      <c r="T167" s="53">
        <f>I167*3</f>
        <v>450</v>
      </c>
      <c r="U167" s="14">
        <f t="shared" si="41"/>
        <v>600</v>
      </c>
    </row>
    <row r="168" spans="1:21" s="7" customFormat="1" x14ac:dyDescent="0.3">
      <c r="A168" s="33" t="s">
        <v>46</v>
      </c>
      <c r="B168" s="36" t="s">
        <v>340</v>
      </c>
      <c r="C168" s="5">
        <v>36000</v>
      </c>
      <c r="D168" s="2">
        <f t="shared" si="58"/>
        <v>1080000</v>
      </c>
      <c r="E168" s="47" t="s">
        <v>3</v>
      </c>
      <c r="F168" s="47" t="s">
        <v>334</v>
      </c>
      <c r="G168" s="16">
        <v>11</v>
      </c>
      <c r="H168" s="16">
        <v>1</v>
      </c>
      <c r="I168" s="16">
        <f t="shared" ref="I168:I170" si="76">H168</f>
        <v>1</v>
      </c>
      <c r="J168" s="37">
        <v>44562</v>
      </c>
      <c r="K168" s="37">
        <v>44926</v>
      </c>
      <c r="L168" s="47">
        <f t="shared" si="25"/>
        <v>1</v>
      </c>
      <c r="M168" s="48"/>
      <c r="N168" s="14"/>
      <c r="O168" s="20">
        <f t="shared" si="15"/>
        <v>0</v>
      </c>
      <c r="P168" s="39">
        <v>0.2</v>
      </c>
      <c r="Q168" s="20">
        <f t="shared" si="47"/>
        <v>0</v>
      </c>
      <c r="R168" s="20">
        <f t="shared" si="48"/>
        <v>0</v>
      </c>
      <c r="S168" s="14">
        <v>0</v>
      </c>
      <c r="T168" s="14">
        <v>0</v>
      </c>
      <c r="U168" s="14">
        <f t="shared" si="41"/>
        <v>0</v>
      </c>
    </row>
    <row r="169" spans="1:21" s="7" customFormat="1" x14ac:dyDescent="0.3">
      <c r="A169" s="33" t="s">
        <v>46</v>
      </c>
      <c r="B169" s="36" t="s">
        <v>340</v>
      </c>
      <c r="C169" s="5">
        <v>36000</v>
      </c>
      <c r="D169" s="2">
        <f t="shared" si="58"/>
        <v>1080000</v>
      </c>
      <c r="E169" s="47" t="s">
        <v>3</v>
      </c>
      <c r="F169" s="47" t="s">
        <v>335</v>
      </c>
      <c r="G169" s="16">
        <v>20</v>
      </c>
      <c r="H169" s="16">
        <v>1</v>
      </c>
      <c r="I169" s="16">
        <f t="shared" si="76"/>
        <v>1</v>
      </c>
      <c r="J169" s="37">
        <v>44562</v>
      </c>
      <c r="K169" s="37">
        <v>44926</v>
      </c>
      <c r="L169" s="47">
        <f t="shared" si="25"/>
        <v>1</v>
      </c>
      <c r="M169" s="48"/>
      <c r="N169" s="14"/>
      <c r="O169" s="20">
        <f t="shared" si="15"/>
        <v>0</v>
      </c>
      <c r="P169" s="39">
        <v>0.2</v>
      </c>
      <c r="Q169" s="20">
        <f t="shared" si="47"/>
        <v>0</v>
      </c>
      <c r="R169" s="20">
        <f t="shared" si="48"/>
        <v>0</v>
      </c>
      <c r="S169" s="14">
        <v>0</v>
      </c>
      <c r="T169" s="14">
        <v>0</v>
      </c>
      <c r="U169" s="14">
        <f t="shared" si="41"/>
        <v>0</v>
      </c>
    </row>
    <row r="170" spans="1:21" s="7" customFormat="1" x14ac:dyDescent="0.3">
      <c r="A170" s="33" t="s">
        <v>46</v>
      </c>
      <c r="B170" s="36" t="s">
        <v>340</v>
      </c>
      <c r="C170" s="5">
        <v>36000</v>
      </c>
      <c r="D170" s="2">
        <f t="shared" si="58"/>
        <v>1080000</v>
      </c>
      <c r="E170" s="47" t="s">
        <v>3</v>
      </c>
      <c r="F170" s="47" t="s">
        <v>336</v>
      </c>
      <c r="G170" s="16">
        <v>16</v>
      </c>
      <c r="H170" s="16">
        <v>1</v>
      </c>
      <c r="I170" s="16">
        <f t="shared" si="76"/>
        <v>1</v>
      </c>
      <c r="J170" s="37">
        <v>44562</v>
      </c>
      <c r="K170" s="37">
        <v>44926</v>
      </c>
      <c r="L170" s="47">
        <f t="shared" si="25"/>
        <v>1</v>
      </c>
      <c r="M170" s="48"/>
      <c r="N170" s="14"/>
      <c r="O170" s="20">
        <f t="shared" si="15"/>
        <v>0</v>
      </c>
      <c r="P170" s="39">
        <v>0.2</v>
      </c>
      <c r="Q170" s="20">
        <f t="shared" si="47"/>
        <v>0</v>
      </c>
      <c r="R170" s="20">
        <f t="shared" si="48"/>
        <v>0</v>
      </c>
      <c r="S170" s="14">
        <v>0</v>
      </c>
      <c r="T170" s="14">
        <v>0</v>
      </c>
      <c r="U170" s="14">
        <f t="shared" si="41"/>
        <v>0</v>
      </c>
    </row>
    <row r="171" spans="1:21" s="7" customFormat="1" x14ac:dyDescent="0.3">
      <c r="A171" s="33" t="s">
        <v>46</v>
      </c>
      <c r="B171" s="36" t="s">
        <v>2</v>
      </c>
      <c r="C171" s="5">
        <v>60000</v>
      </c>
      <c r="D171" s="2">
        <f t="shared" si="26"/>
        <v>1800000</v>
      </c>
      <c r="E171" s="15" t="s">
        <v>1</v>
      </c>
      <c r="F171" s="67" t="s">
        <v>4</v>
      </c>
      <c r="G171" s="16" t="s">
        <v>35</v>
      </c>
      <c r="H171" s="16">
        <v>1</v>
      </c>
      <c r="I171" s="16"/>
      <c r="J171" s="37">
        <v>44562</v>
      </c>
      <c r="K171" s="37">
        <v>44926</v>
      </c>
      <c r="L171" s="47">
        <f t="shared" si="25"/>
        <v>1</v>
      </c>
      <c r="M171" s="48"/>
      <c r="N171" s="14"/>
      <c r="O171" s="20">
        <f t="shared" si="15"/>
        <v>0</v>
      </c>
      <c r="P171" s="39">
        <v>0.2</v>
      </c>
      <c r="Q171" s="20">
        <f t="shared" si="27"/>
        <v>0</v>
      </c>
      <c r="R171" s="20">
        <f t="shared" si="28"/>
        <v>0</v>
      </c>
      <c r="S171" s="14">
        <v>0</v>
      </c>
      <c r="T171" s="14">
        <v>0</v>
      </c>
      <c r="U171" s="14">
        <f t="shared" si="41"/>
        <v>0</v>
      </c>
    </row>
    <row r="172" spans="1:21" s="7" customFormat="1" x14ac:dyDescent="0.3">
      <c r="A172" s="33" t="s">
        <v>46</v>
      </c>
      <c r="B172" s="36" t="s">
        <v>2</v>
      </c>
      <c r="C172" s="5">
        <v>60000</v>
      </c>
      <c r="D172" s="2">
        <f t="shared" si="26"/>
        <v>1800000</v>
      </c>
      <c r="E172" s="36" t="s">
        <v>27</v>
      </c>
      <c r="F172" s="17" t="s">
        <v>26</v>
      </c>
      <c r="G172" s="16">
        <v>0</v>
      </c>
      <c r="H172" s="16">
        <v>1</v>
      </c>
      <c r="I172" s="16"/>
      <c r="J172" s="37">
        <v>44562</v>
      </c>
      <c r="K172" s="37">
        <v>44926</v>
      </c>
      <c r="L172" s="47">
        <f t="shared" si="25"/>
        <v>1</v>
      </c>
      <c r="M172" s="48"/>
      <c r="N172" s="14"/>
      <c r="O172" s="20">
        <f t="shared" si="15"/>
        <v>0</v>
      </c>
      <c r="P172" s="39">
        <v>0.2</v>
      </c>
      <c r="Q172" s="20">
        <f t="shared" si="27"/>
        <v>0</v>
      </c>
      <c r="R172" s="20">
        <f t="shared" si="28"/>
        <v>0</v>
      </c>
      <c r="S172" s="14">
        <v>0</v>
      </c>
      <c r="T172" s="14">
        <v>0</v>
      </c>
      <c r="U172" s="14">
        <f t="shared" si="41"/>
        <v>0</v>
      </c>
    </row>
    <row r="173" spans="1:21" s="7" customFormat="1" x14ac:dyDescent="0.3">
      <c r="A173" s="33" t="s">
        <v>46</v>
      </c>
      <c r="B173" s="36" t="s">
        <v>2</v>
      </c>
      <c r="C173" s="5">
        <v>60000</v>
      </c>
      <c r="D173" s="2">
        <f t="shared" si="26"/>
        <v>1800000</v>
      </c>
      <c r="E173" s="15" t="s">
        <v>190</v>
      </c>
      <c r="F173" s="25" t="s">
        <v>237</v>
      </c>
      <c r="G173" s="16" t="s">
        <v>239</v>
      </c>
      <c r="H173" s="16">
        <v>1</v>
      </c>
      <c r="I173" s="16">
        <v>1</v>
      </c>
      <c r="J173" s="37">
        <v>44562</v>
      </c>
      <c r="K173" s="37">
        <v>44926</v>
      </c>
      <c r="L173" s="47">
        <f t="shared" si="25"/>
        <v>1</v>
      </c>
      <c r="M173" s="48"/>
      <c r="N173" s="14"/>
      <c r="O173" s="20">
        <f t="shared" si="15"/>
        <v>0</v>
      </c>
      <c r="P173" s="39">
        <v>0.2</v>
      </c>
      <c r="Q173" s="20">
        <f t="shared" si="27"/>
        <v>0</v>
      </c>
      <c r="R173" s="20">
        <f t="shared" si="28"/>
        <v>0</v>
      </c>
      <c r="S173" s="14">
        <f>H173*50</f>
        <v>50</v>
      </c>
      <c r="T173" s="14">
        <f>H173*56</f>
        <v>56</v>
      </c>
      <c r="U173" s="14">
        <f t="shared" si="41"/>
        <v>106</v>
      </c>
    </row>
    <row r="174" spans="1:21" s="7" customFormat="1" x14ac:dyDescent="0.3">
      <c r="A174" s="33" t="s">
        <v>46</v>
      </c>
      <c r="B174" s="36" t="s">
        <v>2</v>
      </c>
      <c r="C174" s="5">
        <v>60000</v>
      </c>
      <c r="D174" s="2">
        <f t="shared" si="26"/>
        <v>1800000</v>
      </c>
      <c r="E174" s="15" t="s">
        <v>190</v>
      </c>
      <c r="F174" s="25" t="s">
        <v>238</v>
      </c>
      <c r="G174" s="16" t="s">
        <v>239</v>
      </c>
      <c r="H174" s="16">
        <v>1</v>
      </c>
      <c r="I174" s="16">
        <v>1</v>
      </c>
      <c r="J174" s="37">
        <v>44562</v>
      </c>
      <c r="K174" s="37">
        <v>44926</v>
      </c>
      <c r="L174" s="47">
        <f t="shared" si="25"/>
        <v>1</v>
      </c>
      <c r="M174" s="48"/>
      <c r="N174" s="14"/>
      <c r="O174" s="20">
        <f t="shared" si="15"/>
        <v>0</v>
      </c>
      <c r="P174" s="39">
        <v>0.2</v>
      </c>
      <c r="Q174" s="20">
        <f t="shared" si="27"/>
        <v>0</v>
      </c>
      <c r="R174" s="20">
        <f t="shared" si="28"/>
        <v>0</v>
      </c>
      <c r="S174" s="14">
        <f>H174*50</f>
        <v>50</v>
      </c>
      <c r="T174" s="14">
        <f>H174*56</f>
        <v>56</v>
      </c>
      <c r="U174" s="14">
        <f t="shared" si="41"/>
        <v>106</v>
      </c>
    </row>
    <row r="175" spans="1:21" s="7" customFormat="1" x14ac:dyDescent="0.3">
      <c r="A175" s="33" t="s">
        <v>46</v>
      </c>
      <c r="B175" s="36" t="s">
        <v>2</v>
      </c>
      <c r="C175" s="5">
        <v>60000</v>
      </c>
      <c r="D175" s="2">
        <f t="shared" si="26"/>
        <v>1800000</v>
      </c>
      <c r="E175" s="15" t="s">
        <v>240</v>
      </c>
      <c r="F175" s="25" t="s">
        <v>241</v>
      </c>
      <c r="G175" s="16">
        <f>33.8*9.5</f>
        <v>321.09999999999997</v>
      </c>
      <c r="H175" s="16">
        <v>1</v>
      </c>
      <c r="I175" s="16">
        <v>1</v>
      </c>
      <c r="J175" s="37">
        <v>44562</v>
      </c>
      <c r="K175" s="37">
        <v>44926</v>
      </c>
      <c r="L175" s="47">
        <f t="shared" si="25"/>
        <v>1</v>
      </c>
      <c r="M175" s="48"/>
      <c r="N175" s="14"/>
      <c r="O175" s="20">
        <f t="shared" si="15"/>
        <v>0</v>
      </c>
      <c r="P175" s="39">
        <v>0.2</v>
      </c>
      <c r="Q175" s="20">
        <f t="shared" si="27"/>
        <v>0</v>
      </c>
      <c r="R175" s="20">
        <f t="shared" si="28"/>
        <v>0</v>
      </c>
      <c r="S175" s="14">
        <f>G175*13.5</f>
        <v>4334.8499999999995</v>
      </c>
      <c r="T175" s="14">
        <f>G175*8+600</f>
        <v>3168.7999999999997</v>
      </c>
      <c r="U175" s="14">
        <f t="shared" si="41"/>
        <v>7503.65</v>
      </c>
    </row>
    <row r="176" spans="1:21" s="7" customFormat="1" x14ac:dyDescent="0.3">
      <c r="A176" s="33" t="s">
        <v>46</v>
      </c>
      <c r="B176" s="36" t="s">
        <v>2</v>
      </c>
      <c r="C176" s="5">
        <v>60000</v>
      </c>
      <c r="D176" s="2">
        <f t="shared" si="26"/>
        <v>1800000</v>
      </c>
      <c r="E176" s="15" t="s">
        <v>191</v>
      </c>
      <c r="F176" s="25" t="s">
        <v>242</v>
      </c>
      <c r="G176" s="16">
        <f>18</f>
        <v>18</v>
      </c>
      <c r="H176" s="16">
        <v>1</v>
      </c>
      <c r="I176" s="16">
        <f>H176*2</f>
        <v>2</v>
      </c>
      <c r="J176" s="37">
        <v>44562</v>
      </c>
      <c r="K176" s="37">
        <v>44926</v>
      </c>
      <c r="L176" s="47">
        <f t="shared" si="25"/>
        <v>1</v>
      </c>
      <c r="M176" s="48"/>
      <c r="N176" s="14"/>
      <c r="O176" s="20">
        <f t="shared" si="15"/>
        <v>0</v>
      </c>
      <c r="P176" s="39">
        <v>0.2</v>
      </c>
      <c r="Q176" s="20">
        <f t="shared" si="27"/>
        <v>0</v>
      </c>
      <c r="R176" s="20">
        <f t="shared" si="28"/>
        <v>0</v>
      </c>
      <c r="S176" s="14">
        <f>H176*144</f>
        <v>144</v>
      </c>
      <c r="T176" s="14">
        <f>H176*144</f>
        <v>144</v>
      </c>
      <c r="U176" s="14">
        <f t="shared" si="41"/>
        <v>288</v>
      </c>
    </row>
    <row r="177" spans="1:21" s="7" customFormat="1" x14ac:dyDescent="0.3">
      <c r="A177" s="33" t="s">
        <v>46</v>
      </c>
      <c r="B177" s="36" t="s">
        <v>2</v>
      </c>
      <c r="C177" s="5">
        <v>60000</v>
      </c>
      <c r="D177" s="2">
        <f t="shared" si="26"/>
        <v>1800000</v>
      </c>
      <c r="E177" s="15" t="s">
        <v>191</v>
      </c>
      <c r="F177" s="25" t="s">
        <v>243</v>
      </c>
      <c r="G177" s="16">
        <f>18</f>
        <v>18</v>
      </c>
      <c r="H177" s="16">
        <v>1</v>
      </c>
      <c r="I177" s="16">
        <f>H177*2</f>
        <v>2</v>
      </c>
      <c r="J177" s="37">
        <v>44562</v>
      </c>
      <c r="K177" s="37">
        <v>44926</v>
      </c>
      <c r="L177" s="47">
        <f t="shared" si="25"/>
        <v>1</v>
      </c>
      <c r="M177" s="48"/>
      <c r="N177" s="14"/>
      <c r="O177" s="20">
        <f t="shared" si="15"/>
        <v>0</v>
      </c>
      <c r="P177" s="39">
        <v>0.2</v>
      </c>
      <c r="Q177" s="20">
        <f t="shared" si="27"/>
        <v>0</v>
      </c>
      <c r="R177" s="20">
        <f t="shared" si="28"/>
        <v>0</v>
      </c>
      <c r="S177" s="14">
        <f>H177*144</f>
        <v>144</v>
      </c>
      <c r="T177" s="14">
        <f>H177*144</f>
        <v>144</v>
      </c>
      <c r="U177" s="14">
        <f t="shared" si="41"/>
        <v>288</v>
      </c>
    </row>
    <row r="178" spans="1:21" s="7" customFormat="1" x14ac:dyDescent="0.3">
      <c r="A178" s="33" t="s">
        <v>46</v>
      </c>
      <c r="B178" s="36" t="s">
        <v>2</v>
      </c>
      <c r="C178" s="5">
        <v>60000</v>
      </c>
      <c r="D178" s="2">
        <f t="shared" si="26"/>
        <v>1800000</v>
      </c>
      <c r="E178" s="15" t="s">
        <v>244</v>
      </c>
      <c r="F178" s="25" t="s">
        <v>245</v>
      </c>
      <c r="G178" s="16">
        <f>14*4</f>
        <v>56</v>
      </c>
      <c r="H178" s="16">
        <v>1</v>
      </c>
      <c r="I178" s="16">
        <v>1</v>
      </c>
      <c r="J178" s="37">
        <v>44562</v>
      </c>
      <c r="K178" s="37">
        <v>44926</v>
      </c>
      <c r="L178" s="47">
        <f t="shared" si="25"/>
        <v>1</v>
      </c>
      <c r="M178" s="48"/>
      <c r="N178" s="14"/>
      <c r="O178" s="20">
        <f t="shared" si="15"/>
        <v>0</v>
      </c>
      <c r="P178" s="39">
        <v>0.2</v>
      </c>
      <c r="Q178" s="20">
        <f t="shared" si="27"/>
        <v>0</v>
      </c>
      <c r="R178" s="20">
        <f t="shared" si="28"/>
        <v>0</v>
      </c>
      <c r="S178" s="14">
        <f>H178*378</f>
        <v>378</v>
      </c>
      <c r="T178" s="14">
        <f>H178*378</f>
        <v>378</v>
      </c>
      <c r="U178" s="14">
        <f t="shared" si="41"/>
        <v>756</v>
      </c>
    </row>
    <row r="179" spans="1:21" s="7" customFormat="1" x14ac:dyDescent="0.3">
      <c r="A179" s="33" t="s">
        <v>46</v>
      </c>
      <c r="B179" s="36" t="s">
        <v>2</v>
      </c>
      <c r="C179" s="5">
        <v>60000</v>
      </c>
      <c r="D179" s="2">
        <f t="shared" si="26"/>
        <v>1800000</v>
      </c>
      <c r="E179" s="15" t="s">
        <v>244</v>
      </c>
      <c r="F179" s="25" t="s">
        <v>246</v>
      </c>
      <c r="G179" s="16">
        <f>14*4</f>
        <v>56</v>
      </c>
      <c r="H179" s="16">
        <v>1</v>
      </c>
      <c r="I179" s="16">
        <v>1</v>
      </c>
      <c r="J179" s="37">
        <v>44562</v>
      </c>
      <c r="K179" s="37">
        <v>44926</v>
      </c>
      <c r="L179" s="47">
        <f t="shared" si="25"/>
        <v>1</v>
      </c>
      <c r="M179" s="48"/>
      <c r="N179" s="14"/>
      <c r="O179" s="20">
        <f t="shared" si="15"/>
        <v>0</v>
      </c>
      <c r="P179" s="39">
        <v>0.2</v>
      </c>
      <c r="Q179" s="20">
        <f t="shared" si="27"/>
        <v>0</v>
      </c>
      <c r="R179" s="20">
        <f t="shared" si="28"/>
        <v>0</v>
      </c>
      <c r="S179" s="14">
        <f>H179*378</f>
        <v>378</v>
      </c>
      <c r="T179" s="14">
        <f>H179*378</f>
        <v>378</v>
      </c>
      <c r="U179" s="14">
        <f t="shared" si="41"/>
        <v>756</v>
      </c>
    </row>
    <row r="180" spans="1:21" s="7" customFormat="1" x14ac:dyDescent="0.3">
      <c r="A180" s="33" t="s">
        <v>46</v>
      </c>
      <c r="B180" s="36" t="s">
        <v>2</v>
      </c>
      <c r="C180" s="5">
        <v>60000</v>
      </c>
      <c r="D180" s="2">
        <f t="shared" si="26"/>
        <v>1800000</v>
      </c>
      <c r="E180" s="15" t="s">
        <v>247</v>
      </c>
      <c r="F180" s="25" t="s">
        <v>248</v>
      </c>
      <c r="G180" s="16">
        <f>20*8</f>
        <v>160</v>
      </c>
      <c r="H180" s="16">
        <v>1</v>
      </c>
      <c r="I180" s="16">
        <v>1</v>
      </c>
      <c r="J180" s="37">
        <v>44562</v>
      </c>
      <c r="K180" s="37">
        <v>44926</v>
      </c>
      <c r="L180" s="47">
        <f t="shared" si="25"/>
        <v>1</v>
      </c>
      <c r="M180" s="48"/>
      <c r="N180" s="14"/>
      <c r="O180" s="20">
        <f t="shared" si="15"/>
        <v>0</v>
      </c>
      <c r="P180" s="39">
        <v>0.2</v>
      </c>
      <c r="Q180" s="20">
        <f t="shared" si="27"/>
        <v>0</v>
      </c>
      <c r="R180" s="20">
        <f t="shared" si="28"/>
        <v>0</v>
      </c>
      <c r="S180" s="14">
        <f>G180*13.5</f>
        <v>2160</v>
      </c>
      <c r="T180" s="14">
        <f>G180*8+600</f>
        <v>1880</v>
      </c>
      <c r="U180" s="14">
        <f t="shared" si="41"/>
        <v>4040</v>
      </c>
    </row>
    <row r="181" spans="1:21" s="7" customFormat="1" x14ac:dyDescent="0.3">
      <c r="A181" s="33" t="s">
        <v>46</v>
      </c>
      <c r="B181" s="36" t="s">
        <v>2</v>
      </c>
      <c r="C181" s="5">
        <v>60000</v>
      </c>
      <c r="D181" s="2">
        <f t="shared" si="26"/>
        <v>1800000</v>
      </c>
      <c r="E181" s="15" t="s">
        <v>249</v>
      </c>
      <c r="F181" s="25" t="s">
        <v>250</v>
      </c>
      <c r="G181" s="16">
        <f>5.7*8</f>
        <v>45.6</v>
      </c>
      <c r="H181" s="16">
        <v>1</v>
      </c>
      <c r="I181" s="16">
        <v>1</v>
      </c>
      <c r="J181" s="37">
        <v>44562</v>
      </c>
      <c r="K181" s="37">
        <v>44926</v>
      </c>
      <c r="L181" s="47">
        <f t="shared" si="25"/>
        <v>1</v>
      </c>
      <c r="M181" s="48"/>
      <c r="N181" s="14"/>
      <c r="O181" s="20">
        <f t="shared" si="15"/>
        <v>0</v>
      </c>
      <c r="P181" s="39">
        <v>0.2</v>
      </c>
      <c r="Q181" s="20">
        <f>M181-M181*P181</f>
        <v>0</v>
      </c>
      <c r="R181" s="20">
        <f>O181-O181*P181</f>
        <v>0</v>
      </c>
      <c r="S181" s="14">
        <f>G181*13.5</f>
        <v>615.6</v>
      </c>
      <c r="T181" s="14">
        <f>G181*8+600</f>
        <v>964.8</v>
      </c>
      <c r="U181" s="14">
        <f t="shared" si="41"/>
        <v>1580.4</v>
      </c>
    </row>
    <row r="182" spans="1:21" s="7" customFormat="1" x14ac:dyDescent="0.3">
      <c r="A182" s="33" t="s">
        <v>46</v>
      </c>
      <c r="B182" s="36" t="s">
        <v>2</v>
      </c>
      <c r="C182" s="5">
        <v>60000</v>
      </c>
      <c r="D182" s="2">
        <f t="shared" si="26"/>
        <v>1800000</v>
      </c>
      <c r="E182" s="15" t="s">
        <v>195</v>
      </c>
      <c r="F182" s="35" t="s">
        <v>251</v>
      </c>
      <c r="G182" s="16">
        <f>6*1.7</f>
        <v>10.199999999999999</v>
      </c>
      <c r="H182" s="16">
        <v>1</v>
      </c>
      <c r="I182" s="16">
        <v>1</v>
      </c>
      <c r="J182" s="37">
        <v>44562</v>
      </c>
      <c r="K182" s="37">
        <v>44926</v>
      </c>
      <c r="L182" s="47">
        <f t="shared" si="25"/>
        <v>1</v>
      </c>
      <c r="M182" s="48"/>
      <c r="N182" s="14"/>
      <c r="O182" s="20">
        <f t="shared" si="15"/>
        <v>0</v>
      </c>
      <c r="P182" s="39">
        <v>0.2</v>
      </c>
      <c r="Q182" s="20">
        <f>M182-M182*P182</f>
        <v>0</v>
      </c>
      <c r="R182" s="20">
        <f>O182-O182*P182</f>
        <v>0</v>
      </c>
      <c r="S182" s="14">
        <f>G182*13.5</f>
        <v>137.69999999999999</v>
      </c>
      <c r="T182" s="14">
        <f>G182*8</f>
        <v>81.599999999999994</v>
      </c>
      <c r="U182" s="14">
        <f t="shared" si="41"/>
        <v>219.29999999999998</v>
      </c>
    </row>
    <row r="183" spans="1:21" s="7" customFormat="1" x14ac:dyDescent="0.3">
      <c r="A183" s="33" t="s">
        <v>46</v>
      </c>
      <c r="B183" s="36" t="s">
        <v>2</v>
      </c>
      <c r="C183" s="5">
        <v>60000</v>
      </c>
      <c r="D183" s="2">
        <f t="shared" si="26"/>
        <v>1800000</v>
      </c>
      <c r="E183" s="50" t="s">
        <v>195</v>
      </c>
      <c r="F183" s="35" t="s">
        <v>252</v>
      </c>
      <c r="G183" s="16">
        <f>6*1.7</f>
        <v>10.199999999999999</v>
      </c>
      <c r="H183" s="16">
        <v>1</v>
      </c>
      <c r="I183" s="16">
        <v>1</v>
      </c>
      <c r="J183" s="37">
        <v>44562</v>
      </c>
      <c r="K183" s="37">
        <v>44926</v>
      </c>
      <c r="L183" s="47">
        <f t="shared" si="25"/>
        <v>1</v>
      </c>
      <c r="M183" s="48"/>
      <c r="N183" s="14"/>
      <c r="O183" s="20">
        <f t="shared" si="15"/>
        <v>0</v>
      </c>
      <c r="P183" s="39">
        <v>0.2</v>
      </c>
      <c r="Q183" s="20">
        <f>M183-M183*P183</f>
        <v>0</v>
      </c>
      <c r="R183" s="20">
        <f>O183-O183*P183</f>
        <v>0</v>
      </c>
      <c r="S183" s="14">
        <f>G183*13.5</f>
        <v>137.69999999999999</v>
      </c>
      <c r="T183" s="14">
        <f>G183*8</f>
        <v>81.599999999999994</v>
      </c>
      <c r="U183" s="14">
        <f t="shared" ref="U183:U199" si="77">R183+S183+T183</f>
        <v>219.29999999999998</v>
      </c>
    </row>
    <row r="184" spans="1:21" s="7" customFormat="1" x14ac:dyDescent="0.3">
      <c r="A184" s="33" t="s">
        <v>46</v>
      </c>
      <c r="B184" s="36" t="s">
        <v>2</v>
      </c>
      <c r="C184" s="5">
        <v>60000</v>
      </c>
      <c r="D184" s="2">
        <f t="shared" si="26"/>
        <v>1800000</v>
      </c>
      <c r="E184" s="15" t="s">
        <v>189</v>
      </c>
      <c r="F184" s="67" t="s">
        <v>253</v>
      </c>
      <c r="G184" s="16">
        <f>3*9</f>
        <v>27</v>
      </c>
      <c r="H184" s="16">
        <v>2</v>
      </c>
      <c r="I184" s="16">
        <f>H184*2</f>
        <v>4</v>
      </c>
      <c r="J184" s="37">
        <v>44562</v>
      </c>
      <c r="K184" s="37">
        <v>44926</v>
      </c>
      <c r="L184" s="47">
        <f t="shared" si="25"/>
        <v>1</v>
      </c>
      <c r="M184" s="48"/>
      <c r="N184" s="14"/>
      <c r="O184" s="20">
        <f t="shared" si="15"/>
        <v>0</v>
      </c>
      <c r="P184" s="39">
        <v>0.2</v>
      </c>
      <c r="Q184" s="20">
        <f t="shared" ref="Q184:Q200" si="78">M184-M184*P184</f>
        <v>0</v>
      </c>
      <c r="R184" s="20">
        <f t="shared" si="28"/>
        <v>0</v>
      </c>
      <c r="S184" s="14">
        <f>H184*300</f>
        <v>600</v>
      </c>
      <c r="T184" s="14">
        <f>H184*230</f>
        <v>460</v>
      </c>
      <c r="U184" s="14">
        <f t="shared" si="77"/>
        <v>1060</v>
      </c>
    </row>
    <row r="185" spans="1:21" s="7" customFormat="1" x14ac:dyDescent="0.3">
      <c r="A185" s="33" t="s">
        <v>46</v>
      </c>
      <c r="B185" s="36" t="s">
        <v>2</v>
      </c>
      <c r="C185" s="5">
        <v>60000</v>
      </c>
      <c r="D185" s="2">
        <f t="shared" si="26"/>
        <v>1800000</v>
      </c>
      <c r="E185" s="15" t="s">
        <v>196</v>
      </c>
      <c r="F185" s="35" t="s">
        <v>254</v>
      </c>
      <c r="G185" s="16">
        <f>3*6</f>
        <v>18</v>
      </c>
      <c r="H185" s="16">
        <v>2</v>
      </c>
      <c r="I185" s="16">
        <v>4</v>
      </c>
      <c r="J185" s="37">
        <v>44562</v>
      </c>
      <c r="K185" s="37">
        <v>44926</v>
      </c>
      <c r="L185" s="47">
        <f t="shared" si="25"/>
        <v>1</v>
      </c>
      <c r="M185" s="48"/>
      <c r="N185" s="14"/>
      <c r="O185" s="20">
        <f t="shared" si="15"/>
        <v>0</v>
      </c>
      <c r="P185" s="39">
        <v>0.2</v>
      </c>
      <c r="Q185" s="20">
        <f t="shared" si="78"/>
        <v>0</v>
      </c>
      <c r="R185" s="20">
        <f t="shared" si="28"/>
        <v>0</v>
      </c>
      <c r="S185" s="14">
        <f>H185*216</f>
        <v>432</v>
      </c>
      <c r="T185" s="14">
        <f>H185*230</f>
        <v>460</v>
      </c>
      <c r="U185" s="14">
        <f t="shared" si="77"/>
        <v>892</v>
      </c>
    </row>
    <row r="186" spans="1:21" s="7" customFormat="1" x14ac:dyDescent="0.3">
      <c r="A186" s="33" t="s">
        <v>46</v>
      </c>
      <c r="B186" s="36" t="s">
        <v>2</v>
      </c>
      <c r="C186" s="5">
        <v>60000</v>
      </c>
      <c r="D186" s="2">
        <f t="shared" si="26"/>
        <v>1800000</v>
      </c>
      <c r="E186" s="15" t="s">
        <v>206</v>
      </c>
      <c r="F186" s="35" t="s">
        <v>255</v>
      </c>
      <c r="G186" s="16">
        <f>5*6</f>
        <v>30</v>
      </c>
      <c r="H186" s="16">
        <v>1</v>
      </c>
      <c r="I186" s="16">
        <v>2</v>
      </c>
      <c r="J186" s="37">
        <v>44562</v>
      </c>
      <c r="K186" s="37">
        <v>44926</v>
      </c>
      <c r="L186" s="47">
        <f t="shared" si="25"/>
        <v>1</v>
      </c>
      <c r="M186" s="48"/>
      <c r="N186" s="14"/>
      <c r="O186" s="20">
        <f t="shared" si="15"/>
        <v>0</v>
      </c>
      <c r="P186" s="39">
        <v>0.2</v>
      </c>
      <c r="Q186" s="20">
        <f t="shared" si="78"/>
        <v>0</v>
      </c>
      <c r="R186" s="20">
        <f t="shared" si="28"/>
        <v>0</v>
      </c>
      <c r="S186" s="14">
        <f>H186*450</f>
        <v>450</v>
      </c>
      <c r="T186" s="14">
        <f>H186*264</f>
        <v>264</v>
      </c>
      <c r="U186" s="14">
        <f t="shared" si="77"/>
        <v>714</v>
      </c>
    </row>
    <row r="187" spans="1:21" s="7" customFormat="1" x14ac:dyDescent="0.3">
      <c r="A187" s="33" t="s">
        <v>46</v>
      </c>
      <c r="B187" s="36" t="s">
        <v>2</v>
      </c>
      <c r="C187" s="5">
        <v>60000</v>
      </c>
      <c r="D187" s="2">
        <f t="shared" ref="D187" si="79">C187*30</f>
        <v>1800000</v>
      </c>
      <c r="E187" s="15" t="s">
        <v>206</v>
      </c>
      <c r="F187" s="35" t="s">
        <v>279</v>
      </c>
      <c r="G187" s="16">
        <v>24</v>
      </c>
      <c r="H187" s="16">
        <v>1</v>
      </c>
      <c r="I187" s="16">
        <v>2</v>
      </c>
      <c r="J187" s="37">
        <v>44562</v>
      </c>
      <c r="K187" s="37">
        <v>44926</v>
      </c>
      <c r="L187" s="47">
        <f t="shared" si="25"/>
        <v>1</v>
      </c>
      <c r="M187" s="48"/>
      <c r="N187" s="14"/>
      <c r="O187" s="20">
        <f t="shared" si="15"/>
        <v>0</v>
      </c>
      <c r="P187" s="39">
        <v>0.2</v>
      </c>
      <c r="Q187" s="20">
        <f t="shared" si="78"/>
        <v>0</v>
      </c>
      <c r="R187" s="20">
        <f t="shared" si="28"/>
        <v>0</v>
      </c>
      <c r="S187" s="14">
        <f>H187*400</f>
        <v>400</v>
      </c>
      <c r="T187" s="14">
        <f>H187*250</f>
        <v>250</v>
      </c>
      <c r="U187" s="14">
        <f t="shared" si="77"/>
        <v>650</v>
      </c>
    </row>
    <row r="188" spans="1:21" s="7" customFormat="1" ht="15" customHeight="1" x14ac:dyDescent="0.3">
      <c r="A188" s="33" t="s">
        <v>46</v>
      </c>
      <c r="B188" s="36" t="s">
        <v>2</v>
      </c>
      <c r="C188" s="5">
        <v>60000</v>
      </c>
      <c r="D188" s="2">
        <f t="shared" si="26"/>
        <v>1800000</v>
      </c>
      <c r="E188" s="15" t="s">
        <v>213</v>
      </c>
      <c r="F188" s="35" t="s">
        <v>256</v>
      </c>
      <c r="G188" s="16">
        <f>4*6</f>
        <v>24</v>
      </c>
      <c r="H188" s="16">
        <v>2</v>
      </c>
      <c r="I188" s="16">
        <f>H188*2</f>
        <v>4</v>
      </c>
      <c r="J188" s="37">
        <v>44562</v>
      </c>
      <c r="K188" s="37">
        <v>44926</v>
      </c>
      <c r="L188" s="47">
        <f t="shared" si="25"/>
        <v>1</v>
      </c>
      <c r="M188" s="48"/>
      <c r="N188" s="14"/>
      <c r="O188" s="20">
        <f t="shared" si="15"/>
        <v>0</v>
      </c>
      <c r="P188" s="39">
        <v>0.2</v>
      </c>
      <c r="Q188" s="20">
        <f t="shared" si="78"/>
        <v>0</v>
      </c>
      <c r="R188" s="20">
        <f t="shared" si="28"/>
        <v>0</v>
      </c>
      <c r="S188" s="14">
        <f>H188*450</f>
        <v>900</v>
      </c>
      <c r="T188" s="14">
        <f>H188*264</f>
        <v>528</v>
      </c>
      <c r="U188" s="14">
        <f t="shared" si="77"/>
        <v>1428</v>
      </c>
    </row>
    <row r="189" spans="1:21" s="7" customFormat="1" x14ac:dyDescent="0.3">
      <c r="A189" s="33" t="s">
        <v>46</v>
      </c>
      <c r="B189" s="36" t="s">
        <v>2</v>
      </c>
      <c r="C189" s="5">
        <v>60000</v>
      </c>
      <c r="D189" s="2">
        <f t="shared" si="26"/>
        <v>1800000</v>
      </c>
      <c r="E189" s="15" t="s">
        <v>86</v>
      </c>
      <c r="F189" s="47" t="s">
        <v>166</v>
      </c>
      <c r="G189" s="16" t="s">
        <v>267</v>
      </c>
      <c r="H189" s="16">
        <v>1</v>
      </c>
      <c r="I189" s="16"/>
      <c r="J189" s="37">
        <v>44562</v>
      </c>
      <c r="K189" s="37">
        <v>44926</v>
      </c>
      <c r="L189" s="47">
        <f t="shared" si="25"/>
        <v>1</v>
      </c>
      <c r="M189" s="48"/>
      <c r="N189" s="14"/>
      <c r="O189" s="20">
        <f t="shared" si="15"/>
        <v>0</v>
      </c>
      <c r="P189" s="39">
        <v>0.2</v>
      </c>
      <c r="Q189" s="20">
        <f t="shared" si="78"/>
        <v>0</v>
      </c>
      <c r="R189" s="20">
        <f t="shared" si="28"/>
        <v>0</v>
      </c>
      <c r="S189" s="14">
        <f>I189*3</f>
        <v>0</v>
      </c>
      <c r="T189" s="14">
        <f>I189*4</f>
        <v>0</v>
      </c>
      <c r="U189" s="14">
        <f t="shared" si="77"/>
        <v>0</v>
      </c>
    </row>
    <row r="190" spans="1:21" s="7" customFormat="1" x14ac:dyDescent="0.3">
      <c r="A190" s="33" t="s">
        <v>46</v>
      </c>
      <c r="B190" s="36" t="s">
        <v>2</v>
      </c>
      <c r="C190" s="5">
        <v>60000</v>
      </c>
      <c r="D190" s="2">
        <f t="shared" ref="D190:D200" si="80">C190*30</f>
        <v>1800000</v>
      </c>
      <c r="E190" s="15" t="s">
        <v>86</v>
      </c>
      <c r="F190" s="47" t="s">
        <v>257</v>
      </c>
      <c r="G190" s="16" t="s">
        <v>267</v>
      </c>
      <c r="H190" s="16">
        <v>1</v>
      </c>
      <c r="I190" s="16"/>
      <c r="J190" s="37">
        <v>44562</v>
      </c>
      <c r="K190" s="37">
        <v>44926</v>
      </c>
      <c r="L190" s="47">
        <f t="shared" si="25"/>
        <v>1</v>
      </c>
      <c r="M190" s="48"/>
      <c r="N190" s="14"/>
      <c r="O190" s="20">
        <f t="shared" si="15"/>
        <v>0</v>
      </c>
      <c r="P190" s="39">
        <v>0.2</v>
      </c>
      <c r="Q190" s="20">
        <f t="shared" si="78"/>
        <v>0</v>
      </c>
      <c r="R190" s="20">
        <f t="shared" si="28"/>
        <v>0</v>
      </c>
      <c r="S190" s="14">
        <f t="shared" ref="S190:S200" si="81">I190*3</f>
        <v>0</v>
      </c>
      <c r="T190" s="14">
        <f t="shared" ref="T190:T200" si="82">I190*4</f>
        <v>0</v>
      </c>
      <c r="U190" s="14">
        <f t="shared" si="77"/>
        <v>0</v>
      </c>
    </row>
    <row r="191" spans="1:21" s="7" customFormat="1" x14ac:dyDescent="0.3">
      <c r="A191" s="33" t="s">
        <v>46</v>
      </c>
      <c r="B191" s="36" t="s">
        <v>2</v>
      </c>
      <c r="C191" s="5">
        <v>60000</v>
      </c>
      <c r="D191" s="2">
        <f t="shared" si="80"/>
        <v>1800000</v>
      </c>
      <c r="E191" s="15" t="s">
        <v>86</v>
      </c>
      <c r="F191" s="47" t="s">
        <v>258</v>
      </c>
      <c r="G191" s="16" t="s">
        <v>267</v>
      </c>
      <c r="H191" s="16">
        <v>1</v>
      </c>
      <c r="I191" s="16"/>
      <c r="J191" s="37">
        <v>44562</v>
      </c>
      <c r="K191" s="37">
        <v>44926</v>
      </c>
      <c r="L191" s="47">
        <f t="shared" si="25"/>
        <v>1</v>
      </c>
      <c r="M191" s="48"/>
      <c r="N191" s="14"/>
      <c r="O191" s="20">
        <f t="shared" si="15"/>
        <v>0</v>
      </c>
      <c r="P191" s="39">
        <v>0.2</v>
      </c>
      <c r="Q191" s="20">
        <f t="shared" si="78"/>
        <v>0</v>
      </c>
      <c r="R191" s="20">
        <f t="shared" si="28"/>
        <v>0</v>
      </c>
      <c r="S191" s="14">
        <f t="shared" si="81"/>
        <v>0</v>
      </c>
      <c r="T191" s="14">
        <f t="shared" si="82"/>
        <v>0</v>
      </c>
      <c r="U191" s="14">
        <f t="shared" si="77"/>
        <v>0</v>
      </c>
    </row>
    <row r="192" spans="1:21" s="7" customFormat="1" x14ac:dyDescent="0.3">
      <c r="A192" s="33" t="s">
        <v>46</v>
      </c>
      <c r="B192" s="36" t="s">
        <v>2</v>
      </c>
      <c r="C192" s="5">
        <v>60000</v>
      </c>
      <c r="D192" s="2">
        <f t="shared" si="80"/>
        <v>1800000</v>
      </c>
      <c r="E192" s="15" t="s">
        <v>86</v>
      </c>
      <c r="F192" s="47" t="s">
        <v>259</v>
      </c>
      <c r="G192" s="16" t="s">
        <v>267</v>
      </c>
      <c r="H192" s="16">
        <v>1</v>
      </c>
      <c r="I192" s="16"/>
      <c r="J192" s="37">
        <v>44562</v>
      </c>
      <c r="K192" s="37">
        <v>44926</v>
      </c>
      <c r="L192" s="47">
        <f t="shared" si="25"/>
        <v>1</v>
      </c>
      <c r="M192" s="48"/>
      <c r="N192" s="14"/>
      <c r="O192" s="20">
        <f t="shared" si="15"/>
        <v>0</v>
      </c>
      <c r="P192" s="39">
        <v>0.2</v>
      </c>
      <c r="Q192" s="20">
        <f t="shared" si="78"/>
        <v>0</v>
      </c>
      <c r="R192" s="20">
        <f t="shared" si="28"/>
        <v>0</v>
      </c>
      <c r="S192" s="14">
        <f t="shared" si="81"/>
        <v>0</v>
      </c>
      <c r="T192" s="14">
        <f t="shared" si="82"/>
        <v>0</v>
      </c>
      <c r="U192" s="14">
        <f t="shared" si="77"/>
        <v>0</v>
      </c>
    </row>
    <row r="193" spans="1:21" s="7" customFormat="1" x14ac:dyDescent="0.3">
      <c r="A193" s="33" t="s">
        <v>46</v>
      </c>
      <c r="B193" s="36" t="s">
        <v>2</v>
      </c>
      <c r="C193" s="5">
        <v>60000</v>
      </c>
      <c r="D193" s="2">
        <f t="shared" si="80"/>
        <v>1800000</v>
      </c>
      <c r="E193" s="15" t="s">
        <v>86</v>
      </c>
      <c r="F193" s="47" t="s">
        <v>260</v>
      </c>
      <c r="G193" s="16" t="s">
        <v>267</v>
      </c>
      <c r="H193" s="16">
        <v>1</v>
      </c>
      <c r="I193" s="16"/>
      <c r="J193" s="37">
        <v>44562</v>
      </c>
      <c r="K193" s="37">
        <v>44926</v>
      </c>
      <c r="L193" s="47">
        <f t="shared" si="25"/>
        <v>1</v>
      </c>
      <c r="M193" s="48"/>
      <c r="N193" s="14"/>
      <c r="O193" s="20">
        <f t="shared" si="15"/>
        <v>0</v>
      </c>
      <c r="P193" s="39">
        <v>0.2</v>
      </c>
      <c r="Q193" s="20">
        <f t="shared" si="78"/>
        <v>0</v>
      </c>
      <c r="R193" s="20">
        <f t="shared" si="28"/>
        <v>0</v>
      </c>
      <c r="S193" s="14">
        <f t="shared" si="81"/>
        <v>0</v>
      </c>
      <c r="T193" s="14">
        <f t="shared" si="82"/>
        <v>0</v>
      </c>
      <c r="U193" s="14">
        <f t="shared" si="77"/>
        <v>0</v>
      </c>
    </row>
    <row r="194" spans="1:21" s="7" customFormat="1" x14ac:dyDescent="0.3">
      <c r="A194" s="33" t="s">
        <v>46</v>
      </c>
      <c r="B194" s="36" t="s">
        <v>2</v>
      </c>
      <c r="C194" s="5">
        <v>60000</v>
      </c>
      <c r="D194" s="2">
        <f t="shared" si="80"/>
        <v>1800000</v>
      </c>
      <c r="E194" s="15" t="s">
        <v>86</v>
      </c>
      <c r="F194" s="47" t="s">
        <v>261</v>
      </c>
      <c r="G194" s="16" t="s">
        <v>267</v>
      </c>
      <c r="H194" s="16">
        <v>1</v>
      </c>
      <c r="I194" s="16"/>
      <c r="J194" s="37">
        <v>44562</v>
      </c>
      <c r="K194" s="37">
        <v>44926</v>
      </c>
      <c r="L194" s="47">
        <f t="shared" si="25"/>
        <v>1</v>
      </c>
      <c r="M194" s="48"/>
      <c r="N194" s="14"/>
      <c r="O194" s="20">
        <f t="shared" si="15"/>
        <v>0</v>
      </c>
      <c r="P194" s="39">
        <v>0.2</v>
      </c>
      <c r="Q194" s="20">
        <f t="shared" si="78"/>
        <v>0</v>
      </c>
      <c r="R194" s="20">
        <f t="shared" si="28"/>
        <v>0</v>
      </c>
      <c r="S194" s="14">
        <f t="shared" si="81"/>
        <v>0</v>
      </c>
      <c r="T194" s="14">
        <f t="shared" si="82"/>
        <v>0</v>
      </c>
      <c r="U194" s="14">
        <f t="shared" si="77"/>
        <v>0</v>
      </c>
    </row>
    <row r="195" spans="1:21" s="7" customFormat="1" x14ac:dyDescent="0.3">
      <c r="A195" s="33" t="s">
        <v>46</v>
      </c>
      <c r="B195" s="36" t="s">
        <v>2</v>
      </c>
      <c r="C195" s="5">
        <v>60000</v>
      </c>
      <c r="D195" s="2">
        <f t="shared" si="80"/>
        <v>1800000</v>
      </c>
      <c r="E195" s="15" t="s">
        <v>86</v>
      </c>
      <c r="F195" s="47" t="s">
        <v>171</v>
      </c>
      <c r="G195" s="16" t="s">
        <v>267</v>
      </c>
      <c r="H195" s="16">
        <v>1</v>
      </c>
      <c r="I195" s="16"/>
      <c r="J195" s="37">
        <v>44562</v>
      </c>
      <c r="K195" s="37">
        <v>44926</v>
      </c>
      <c r="L195" s="47">
        <f t="shared" si="25"/>
        <v>1</v>
      </c>
      <c r="M195" s="48"/>
      <c r="N195" s="14"/>
      <c r="O195" s="20">
        <f t="shared" si="15"/>
        <v>0</v>
      </c>
      <c r="P195" s="39">
        <v>0.2</v>
      </c>
      <c r="Q195" s="20">
        <f t="shared" si="78"/>
        <v>0</v>
      </c>
      <c r="R195" s="20">
        <f t="shared" si="28"/>
        <v>0</v>
      </c>
      <c r="S195" s="14">
        <f t="shared" si="81"/>
        <v>0</v>
      </c>
      <c r="T195" s="14">
        <f t="shared" si="82"/>
        <v>0</v>
      </c>
      <c r="U195" s="14">
        <f t="shared" si="77"/>
        <v>0</v>
      </c>
    </row>
    <row r="196" spans="1:21" s="7" customFormat="1" x14ac:dyDescent="0.3">
      <c r="A196" s="33" t="s">
        <v>46</v>
      </c>
      <c r="B196" s="36" t="s">
        <v>2</v>
      </c>
      <c r="C196" s="5">
        <v>60000</v>
      </c>
      <c r="D196" s="2">
        <f t="shared" si="80"/>
        <v>1800000</v>
      </c>
      <c r="E196" s="15" t="s">
        <v>86</v>
      </c>
      <c r="F196" s="47" t="s">
        <v>262</v>
      </c>
      <c r="G196" s="16" t="s">
        <v>267</v>
      </c>
      <c r="H196" s="16">
        <v>1</v>
      </c>
      <c r="I196" s="16"/>
      <c r="J196" s="37">
        <v>44562</v>
      </c>
      <c r="K196" s="37">
        <v>44926</v>
      </c>
      <c r="L196" s="47">
        <f t="shared" si="25"/>
        <v>1</v>
      </c>
      <c r="M196" s="48"/>
      <c r="N196" s="14"/>
      <c r="O196" s="20">
        <f t="shared" si="15"/>
        <v>0</v>
      </c>
      <c r="P196" s="39">
        <v>0.2</v>
      </c>
      <c r="Q196" s="20">
        <f t="shared" si="78"/>
        <v>0</v>
      </c>
      <c r="R196" s="20">
        <f t="shared" si="28"/>
        <v>0</v>
      </c>
      <c r="S196" s="14">
        <f t="shared" si="81"/>
        <v>0</v>
      </c>
      <c r="T196" s="14">
        <f t="shared" si="82"/>
        <v>0</v>
      </c>
      <c r="U196" s="14">
        <f t="shared" si="77"/>
        <v>0</v>
      </c>
    </row>
    <row r="197" spans="1:21" s="7" customFormat="1" x14ac:dyDescent="0.3">
      <c r="A197" s="33" t="s">
        <v>46</v>
      </c>
      <c r="B197" s="36" t="s">
        <v>2</v>
      </c>
      <c r="C197" s="5">
        <v>60000</v>
      </c>
      <c r="D197" s="2">
        <f t="shared" si="80"/>
        <v>1800000</v>
      </c>
      <c r="E197" s="15" t="s">
        <v>86</v>
      </c>
      <c r="F197" s="47" t="s">
        <v>263</v>
      </c>
      <c r="G197" s="16" t="s">
        <v>267</v>
      </c>
      <c r="H197" s="16">
        <v>1</v>
      </c>
      <c r="I197" s="16"/>
      <c r="J197" s="37">
        <v>44562</v>
      </c>
      <c r="K197" s="37">
        <v>44926</v>
      </c>
      <c r="L197" s="47">
        <f t="shared" si="25"/>
        <v>1</v>
      </c>
      <c r="M197" s="48"/>
      <c r="N197" s="14"/>
      <c r="O197" s="20">
        <f t="shared" si="15"/>
        <v>0</v>
      </c>
      <c r="P197" s="39">
        <v>0.2</v>
      </c>
      <c r="Q197" s="20">
        <f t="shared" si="78"/>
        <v>0</v>
      </c>
      <c r="R197" s="20">
        <f t="shared" si="28"/>
        <v>0</v>
      </c>
      <c r="S197" s="14">
        <f t="shared" si="81"/>
        <v>0</v>
      </c>
      <c r="T197" s="14">
        <f t="shared" si="82"/>
        <v>0</v>
      </c>
      <c r="U197" s="14">
        <f t="shared" si="77"/>
        <v>0</v>
      </c>
    </row>
    <row r="198" spans="1:21" s="7" customFormat="1" x14ac:dyDescent="0.3">
      <c r="A198" s="33" t="s">
        <v>46</v>
      </c>
      <c r="B198" s="36" t="s">
        <v>2</v>
      </c>
      <c r="C198" s="5">
        <v>60000</v>
      </c>
      <c r="D198" s="2">
        <f t="shared" si="80"/>
        <v>1800000</v>
      </c>
      <c r="E198" s="15" t="s">
        <v>86</v>
      </c>
      <c r="F198" s="47" t="s">
        <v>264</v>
      </c>
      <c r="G198" s="16" t="s">
        <v>267</v>
      </c>
      <c r="H198" s="16">
        <v>1</v>
      </c>
      <c r="I198" s="16"/>
      <c r="J198" s="37">
        <v>44562</v>
      </c>
      <c r="K198" s="37">
        <v>44926</v>
      </c>
      <c r="L198" s="47">
        <f t="shared" si="25"/>
        <v>1</v>
      </c>
      <c r="M198" s="48"/>
      <c r="N198" s="14"/>
      <c r="O198" s="20">
        <f t="shared" si="15"/>
        <v>0</v>
      </c>
      <c r="P198" s="39">
        <v>0.2</v>
      </c>
      <c r="Q198" s="20">
        <f t="shared" si="78"/>
        <v>0</v>
      </c>
      <c r="R198" s="20">
        <f t="shared" si="28"/>
        <v>0</v>
      </c>
      <c r="S198" s="14">
        <f t="shared" si="81"/>
        <v>0</v>
      </c>
      <c r="T198" s="14">
        <f t="shared" si="82"/>
        <v>0</v>
      </c>
      <c r="U198" s="14">
        <f t="shared" si="77"/>
        <v>0</v>
      </c>
    </row>
    <row r="199" spans="1:21" s="7" customFormat="1" x14ac:dyDescent="0.3">
      <c r="A199" s="33" t="s">
        <v>46</v>
      </c>
      <c r="B199" s="36" t="s">
        <v>2</v>
      </c>
      <c r="C199" s="5">
        <v>60000</v>
      </c>
      <c r="D199" s="2">
        <f t="shared" si="80"/>
        <v>1800000</v>
      </c>
      <c r="E199" s="15" t="s">
        <v>86</v>
      </c>
      <c r="F199" s="47" t="s">
        <v>265</v>
      </c>
      <c r="G199" s="16" t="s">
        <v>267</v>
      </c>
      <c r="H199" s="16">
        <v>1</v>
      </c>
      <c r="I199" s="16"/>
      <c r="J199" s="37">
        <v>44562</v>
      </c>
      <c r="K199" s="37">
        <v>44926</v>
      </c>
      <c r="L199" s="47">
        <f t="shared" si="25"/>
        <v>1</v>
      </c>
      <c r="M199" s="48"/>
      <c r="N199" s="14"/>
      <c r="O199" s="20">
        <f t="shared" si="15"/>
        <v>0</v>
      </c>
      <c r="P199" s="39">
        <v>0.2</v>
      </c>
      <c r="Q199" s="20">
        <f t="shared" si="78"/>
        <v>0</v>
      </c>
      <c r="R199" s="20">
        <f t="shared" si="28"/>
        <v>0</v>
      </c>
      <c r="S199" s="14">
        <f t="shared" si="81"/>
        <v>0</v>
      </c>
      <c r="T199" s="14">
        <f t="shared" si="82"/>
        <v>0</v>
      </c>
      <c r="U199" s="14">
        <f t="shared" si="77"/>
        <v>0</v>
      </c>
    </row>
    <row r="200" spans="1:21" s="7" customFormat="1" x14ac:dyDescent="0.3">
      <c r="A200" s="33" t="s">
        <v>46</v>
      </c>
      <c r="B200" s="36" t="s">
        <v>2</v>
      </c>
      <c r="C200" s="5">
        <v>60000</v>
      </c>
      <c r="D200" s="2">
        <f t="shared" si="80"/>
        <v>1800000</v>
      </c>
      <c r="E200" s="15" t="s">
        <v>86</v>
      </c>
      <c r="F200" s="47" t="s">
        <v>266</v>
      </c>
      <c r="G200" s="16" t="s">
        <v>267</v>
      </c>
      <c r="H200" s="16">
        <v>1</v>
      </c>
      <c r="I200" s="16"/>
      <c r="J200" s="37">
        <v>44562</v>
      </c>
      <c r="K200" s="37">
        <v>44926</v>
      </c>
      <c r="L200" s="47">
        <f t="shared" si="25"/>
        <v>1</v>
      </c>
      <c r="M200" s="48"/>
      <c r="N200" s="14"/>
      <c r="O200" s="20">
        <f t="shared" si="15"/>
        <v>0</v>
      </c>
      <c r="P200" s="39">
        <v>0.2</v>
      </c>
      <c r="Q200" s="20">
        <f t="shared" si="78"/>
        <v>0</v>
      </c>
      <c r="R200" s="20">
        <f t="shared" si="28"/>
        <v>0</v>
      </c>
      <c r="S200" s="14">
        <f t="shared" si="81"/>
        <v>0</v>
      </c>
      <c r="T200" s="14">
        <f t="shared" si="82"/>
        <v>0</v>
      </c>
      <c r="U200" s="14">
        <f t="shared" ref="U200" si="83">R200+S200+T200</f>
        <v>0</v>
      </c>
    </row>
    <row r="201" spans="1:21" s="7" customFormat="1" x14ac:dyDescent="0.3">
      <c r="A201" s="33" t="s">
        <v>46</v>
      </c>
      <c r="B201" s="36" t="s">
        <v>2</v>
      </c>
      <c r="C201" s="5">
        <v>60000</v>
      </c>
      <c r="D201" s="2">
        <f t="shared" ref="D201:D226" si="84">C201*30</f>
        <v>1800000</v>
      </c>
      <c r="E201" s="15" t="s">
        <v>14</v>
      </c>
      <c r="F201" s="47" t="s">
        <v>19</v>
      </c>
      <c r="G201" s="16">
        <v>500</v>
      </c>
      <c r="H201" s="16">
        <v>1</v>
      </c>
      <c r="I201" s="16">
        <f>H201</f>
        <v>1</v>
      </c>
      <c r="J201" s="37">
        <v>44562</v>
      </c>
      <c r="K201" s="37">
        <v>44926</v>
      </c>
      <c r="L201" s="47">
        <f t="shared" ref="L201:L253" si="85">D$4</f>
        <v>1</v>
      </c>
      <c r="M201" s="96"/>
      <c r="N201" s="71"/>
      <c r="O201" s="73">
        <f t="shared" si="15"/>
        <v>0</v>
      </c>
      <c r="P201" s="75">
        <v>0.2</v>
      </c>
      <c r="Q201" s="73">
        <f>M201-M201*P201</f>
        <v>0</v>
      </c>
      <c r="R201" s="73">
        <f>O201-O201*P201</f>
        <v>0</v>
      </c>
      <c r="S201" s="14">
        <f>H201*4200</f>
        <v>4200</v>
      </c>
      <c r="T201" s="14">
        <f>H201*2000</f>
        <v>2000</v>
      </c>
      <c r="U201" s="71">
        <f>R201+S201+S202+T201+T202</f>
        <v>16216</v>
      </c>
    </row>
    <row r="202" spans="1:21" s="7" customFormat="1" x14ac:dyDescent="0.3">
      <c r="A202" s="33" t="s">
        <v>46</v>
      </c>
      <c r="B202" s="36" t="s">
        <v>2</v>
      </c>
      <c r="C202" s="5">
        <v>60000</v>
      </c>
      <c r="D202" s="2">
        <f t="shared" si="84"/>
        <v>1800000</v>
      </c>
      <c r="E202" s="15" t="s">
        <v>13</v>
      </c>
      <c r="F202" s="47" t="s">
        <v>19</v>
      </c>
      <c r="G202" s="16">
        <v>800</v>
      </c>
      <c r="H202" s="16">
        <v>1</v>
      </c>
      <c r="I202" s="16">
        <f>H202</f>
        <v>1</v>
      </c>
      <c r="J202" s="37">
        <v>44562</v>
      </c>
      <c r="K202" s="37">
        <v>44926</v>
      </c>
      <c r="L202" s="47">
        <f t="shared" si="85"/>
        <v>1</v>
      </c>
      <c r="M202" s="97"/>
      <c r="N202" s="72"/>
      <c r="O202" s="74"/>
      <c r="P202" s="76"/>
      <c r="Q202" s="74"/>
      <c r="R202" s="74"/>
      <c r="S202" s="14">
        <f>H202*7616</f>
        <v>7616</v>
      </c>
      <c r="T202" s="14">
        <f>H202*2400</f>
        <v>2400</v>
      </c>
      <c r="U202" s="72"/>
    </row>
    <row r="203" spans="1:21" s="7" customFormat="1" x14ac:dyDescent="0.3">
      <c r="A203" s="33" t="s">
        <v>46</v>
      </c>
      <c r="B203" s="36" t="s">
        <v>2</v>
      </c>
      <c r="C203" s="5">
        <v>60000</v>
      </c>
      <c r="D203" s="2">
        <f>C203*30</f>
        <v>1800000</v>
      </c>
      <c r="E203" s="46" t="s">
        <v>212</v>
      </c>
      <c r="F203" s="35" t="s">
        <v>19</v>
      </c>
      <c r="G203" s="16">
        <v>160</v>
      </c>
      <c r="H203" s="16">
        <v>1</v>
      </c>
      <c r="I203" s="16">
        <v>2</v>
      </c>
      <c r="J203" s="37">
        <v>44562</v>
      </c>
      <c r="K203" s="37">
        <v>44926</v>
      </c>
      <c r="L203" s="47">
        <f t="shared" si="85"/>
        <v>1</v>
      </c>
      <c r="M203" s="48"/>
      <c r="N203" s="14"/>
      <c r="O203" s="20">
        <f>H203*L203*M203</f>
        <v>0</v>
      </c>
      <c r="P203" s="39">
        <v>0.2</v>
      </c>
      <c r="Q203" s="20">
        <f>M203-M203*P203</f>
        <v>0</v>
      </c>
      <c r="R203" s="20">
        <f>O203-O203*P203</f>
        <v>0</v>
      </c>
      <c r="S203" s="14">
        <f>G203*13.5</f>
        <v>2160</v>
      </c>
      <c r="T203" s="14">
        <f>G203*8</f>
        <v>1280</v>
      </c>
      <c r="U203" s="14">
        <f t="shared" ref="U203:U253" si="86">R203+S203+T203</f>
        <v>3440</v>
      </c>
    </row>
    <row r="204" spans="1:21" s="7" customFormat="1" x14ac:dyDescent="0.3">
      <c r="A204" s="33" t="s">
        <v>46</v>
      </c>
      <c r="B204" s="36" t="s">
        <v>2</v>
      </c>
      <c r="C204" s="5">
        <v>60000</v>
      </c>
      <c r="D204" s="2">
        <f t="shared" si="84"/>
        <v>1800000</v>
      </c>
      <c r="E204" s="15" t="s">
        <v>20</v>
      </c>
      <c r="F204" s="47" t="s">
        <v>268</v>
      </c>
      <c r="G204" s="16">
        <v>5</v>
      </c>
      <c r="H204" s="16">
        <v>2</v>
      </c>
      <c r="I204" s="16">
        <f>G204</f>
        <v>5</v>
      </c>
      <c r="J204" s="37">
        <v>44562</v>
      </c>
      <c r="K204" s="37">
        <v>44926</v>
      </c>
      <c r="L204" s="47">
        <f t="shared" si="85"/>
        <v>1</v>
      </c>
      <c r="M204" s="48"/>
      <c r="N204" s="14"/>
      <c r="O204" s="20">
        <f t="shared" ref="O204:O253" si="87">H204*L204*M204</f>
        <v>0</v>
      </c>
      <c r="P204" s="39">
        <v>0.2</v>
      </c>
      <c r="Q204" s="20">
        <f t="shared" ref="Q204:Q232" si="88">M204-M204*P204</f>
        <v>0</v>
      </c>
      <c r="R204" s="20">
        <f t="shared" ref="R204:R232" si="89">O204-O204*P204</f>
        <v>0</v>
      </c>
      <c r="S204" s="14">
        <f>G204*H204*13.5</f>
        <v>135</v>
      </c>
      <c r="T204" s="14">
        <f>G204*H204*8</f>
        <v>80</v>
      </c>
      <c r="U204" s="14">
        <f t="shared" si="86"/>
        <v>215</v>
      </c>
    </row>
    <row r="205" spans="1:21" s="7" customFormat="1" x14ac:dyDescent="0.3">
      <c r="A205" s="33" t="s">
        <v>46</v>
      </c>
      <c r="B205" s="36" t="s">
        <v>2</v>
      </c>
      <c r="C205" s="5">
        <v>60000</v>
      </c>
      <c r="D205" s="2">
        <f t="shared" si="84"/>
        <v>1800000</v>
      </c>
      <c r="E205" s="15" t="s">
        <v>20</v>
      </c>
      <c r="F205" s="47" t="s">
        <v>37</v>
      </c>
      <c r="G205" s="16">
        <v>5</v>
      </c>
      <c r="H205" s="16">
        <v>6</v>
      </c>
      <c r="I205" s="16">
        <f>G205</f>
        <v>5</v>
      </c>
      <c r="J205" s="37">
        <v>44562</v>
      </c>
      <c r="K205" s="37">
        <v>44926</v>
      </c>
      <c r="L205" s="47">
        <f t="shared" si="85"/>
        <v>1</v>
      </c>
      <c r="M205" s="48"/>
      <c r="N205" s="14"/>
      <c r="O205" s="20">
        <f t="shared" si="87"/>
        <v>0</v>
      </c>
      <c r="P205" s="39">
        <v>0.2</v>
      </c>
      <c r="Q205" s="20">
        <f t="shared" si="88"/>
        <v>0</v>
      </c>
      <c r="R205" s="20">
        <f t="shared" si="89"/>
        <v>0</v>
      </c>
      <c r="S205" s="14">
        <f>G205*H205*13.5</f>
        <v>405</v>
      </c>
      <c r="T205" s="14">
        <f>G205*H205*8</f>
        <v>240</v>
      </c>
      <c r="U205" s="14">
        <f t="shared" si="86"/>
        <v>645</v>
      </c>
    </row>
    <row r="206" spans="1:21" s="7" customFormat="1" x14ac:dyDescent="0.3">
      <c r="A206" s="33" t="s">
        <v>46</v>
      </c>
      <c r="B206" s="36" t="s">
        <v>2</v>
      </c>
      <c r="C206" s="5">
        <v>60000</v>
      </c>
      <c r="D206" s="2">
        <f t="shared" si="84"/>
        <v>1800000</v>
      </c>
      <c r="E206" s="15" t="s">
        <v>3</v>
      </c>
      <c r="F206" s="47" t="s">
        <v>3</v>
      </c>
      <c r="G206" s="16" t="s">
        <v>23</v>
      </c>
      <c r="H206" s="16">
        <v>1</v>
      </c>
      <c r="I206" s="16"/>
      <c r="J206" s="37">
        <v>44562</v>
      </c>
      <c r="K206" s="37">
        <v>44926</v>
      </c>
      <c r="L206" s="47">
        <f t="shared" si="85"/>
        <v>1</v>
      </c>
      <c r="M206" s="48"/>
      <c r="N206" s="14"/>
      <c r="O206" s="20">
        <f t="shared" si="87"/>
        <v>0</v>
      </c>
      <c r="P206" s="39">
        <v>0.2</v>
      </c>
      <c r="Q206" s="20">
        <f t="shared" si="88"/>
        <v>0</v>
      </c>
      <c r="R206" s="20">
        <f t="shared" si="89"/>
        <v>0</v>
      </c>
      <c r="S206" s="14">
        <v>0</v>
      </c>
      <c r="T206" s="14">
        <v>0</v>
      </c>
      <c r="U206" s="14">
        <f t="shared" si="86"/>
        <v>0</v>
      </c>
    </row>
    <row r="207" spans="1:21" s="7" customFormat="1" x14ac:dyDescent="0.3">
      <c r="A207" s="33" t="s">
        <v>46</v>
      </c>
      <c r="B207" s="36" t="s">
        <v>2</v>
      </c>
      <c r="C207" s="5">
        <v>60000</v>
      </c>
      <c r="D207" s="2">
        <f t="shared" si="84"/>
        <v>1800000</v>
      </c>
      <c r="E207" s="15" t="s">
        <v>65</v>
      </c>
      <c r="F207" s="47" t="s">
        <v>269</v>
      </c>
      <c r="G207" s="16" t="s">
        <v>15</v>
      </c>
      <c r="H207" s="16">
        <v>9</v>
      </c>
      <c r="I207" s="16">
        <f>H207</f>
        <v>9</v>
      </c>
      <c r="J207" s="37">
        <v>44562</v>
      </c>
      <c r="K207" s="37">
        <v>44926</v>
      </c>
      <c r="L207" s="47">
        <f t="shared" si="85"/>
        <v>1</v>
      </c>
      <c r="M207" s="48"/>
      <c r="N207" s="14"/>
      <c r="O207" s="20">
        <f>H207*L207*M207</f>
        <v>0</v>
      </c>
      <c r="P207" s="39">
        <v>0.2</v>
      </c>
      <c r="Q207" s="20">
        <f t="shared" si="88"/>
        <v>0</v>
      </c>
      <c r="R207" s="20">
        <f t="shared" si="89"/>
        <v>0</v>
      </c>
      <c r="S207" s="14">
        <f>H207*30</f>
        <v>270</v>
      </c>
      <c r="T207" s="14">
        <f>H207*10</f>
        <v>90</v>
      </c>
      <c r="U207" s="14">
        <f t="shared" si="86"/>
        <v>360</v>
      </c>
    </row>
    <row r="208" spans="1:21" s="7" customFormat="1" x14ac:dyDescent="0.3">
      <c r="A208" s="33" t="s">
        <v>46</v>
      </c>
      <c r="B208" s="36" t="s">
        <v>2</v>
      </c>
      <c r="C208" s="5">
        <v>60000</v>
      </c>
      <c r="D208" s="2">
        <f t="shared" si="84"/>
        <v>1800000</v>
      </c>
      <c r="E208" s="15" t="s">
        <v>207</v>
      </c>
      <c r="F208" s="35" t="s">
        <v>192</v>
      </c>
      <c r="G208" s="16">
        <v>10</v>
      </c>
      <c r="H208" s="16">
        <v>2</v>
      </c>
      <c r="I208" s="16">
        <f>H208</f>
        <v>2</v>
      </c>
      <c r="J208" s="37">
        <v>44562</v>
      </c>
      <c r="K208" s="37">
        <v>44926</v>
      </c>
      <c r="L208" s="47">
        <f t="shared" si="85"/>
        <v>1</v>
      </c>
      <c r="M208" s="48"/>
      <c r="N208" s="14"/>
      <c r="O208" s="20">
        <f t="shared" si="87"/>
        <v>0</v>
      </c>
      <c r="P208" s="39">
        <v>0.2</v>
      </c>
      <c r="Q208" s="20">
        <f t="shared" si="88"/>
        <v>0</v>
      </c>
      <c r="R208" s="20">
        <f t="shared" si="89"/>
        <v>0</v>
      </c>
      <c r="S208" s="14">
        <f>H208*150</f>
        <v>300</v>
      </c>
      <c r="T208" s="14">
        <f>H208*100</f>
        <v>200</v>
      </c>
      <c r="U208" s="14">
        <f t="shared" si="86"/>
        <v>500</v>
      </c>
    </row>
    <row r="209" spans="1:21" s="7" customFormat="1" x14ac:dyDescent="0.3">
      <c r="A209" s="33" t="s">
        <v>46</v>
      </c>
      <c r="B209" s="36" t="s">
        <v>2</v>
      </c>
      <c r="C209" s="5">
        <v>60000</v>
      </c>
      <c r="D209" s="2">
        <f t="shared" si="84"/>
        <v>1800000</v>
      </c>
      <c r="E209" s="15" t="s">
        <v>207</v>
      </c>
      <c r="F209" s="35" t="s">
        <v>231</v>
      </c>
      <c r="G209" s="16">
        <v>15</v>
      </c>
      <c r="H209" s="16">
        <v>4</v>
      </c>
      <c r="I209" s="16">
        <f>H209</f>
        <v>4</v>
      </c>
      <c r="J209" s="37">
        <v>44562</v>
      </c>
      <c r="K209" s="37">
        <v>44926</v>
      </c>
      <c r="L209" s="47">
        <f t="shared" si="85"/>
        <v>1</v>
      </c>
      <c r="M209" s="48"/>
      <c r="N209" s="14"/>
      <c r="O209" s="20">
        <f t="shared" si="87"/>
        <v>0</v>
      </c>
      <c r="P209" s="39">
        <v>0.2</v>
      </c>
      <c r="Q209" s="20">
        <f t="shared" si="88"/>
        <v>0</v>
      </c>
      <c r="R209" s="20">
        <f t="shared" si="89"/>
        <v>0</v>
      </c>
      <c r="S209" s="14">
        <f>H209*250</f>
        <v>1000</v>
      </c>
      <c r="T209" s="14">
        <f>H209*150</f>
        <v>600</v>
      </c>
      <c r="U209" s="14">
        <f t="shared" si="86"/>
        <v>1600</v>
      </c>
    </row>
    <row r="210" spans="1:21" s="7" customFormat="1" x14ac:dyDescent="0.3">
      <c r="A210" s="33" t="s">
        <v>46</v>
      </c>
      <c r="B210" s="36" t="s">
        <v>2</v>
      </c>
      <c r="C210" s="5">
        <v>60000</v>
      </c>
      <c r="D210" s="2">
        <f t="shared" si="84"/>
        <v>1800000</v>
      </c>
      <c r="E210" s="15" t="s">
        <v>92</v>
      </c>
      <c r="F210" s="25" t="s">
        <v>270</v>
      </c>
      <c r="G210" s="16">
        <v>12</v>
      </c>
      <c r="H210" s="16">
        <v>1</v>
      </c>
      <c r="I210" s="16">
        <f>H210*6</f>
        <v>6</v>
      </c>
      <c r="J210" s="37">
        <v>44562</v>
      </c>
      <c r="K210" s="37">
        <v>44926</v>
      </c>
      <c r="L210" s="47">
        <f t="shared" si="85"/>
        <v>1</v>
      </c>
      <c r="M210" s="48"/>
      <c r="N210" s="14"/>
      <c r="O210" s="20">
        <f t="shared" si="87"/>
        <v>0</v>
      </c>
      <c r="P210" s="39">
        <v>0.2</v>
      </c>
      <c r="Q210" s="20">
        <f t="shared" si="88"/>
        <v>0</v>
      </c>
      <c r="R210" s="20">
        <f t="shared" si="89"/>
        <v>0</v>
      </c>
      <c r="S210" s="14">
        <f>G210*13.5</f>
        <v>162</v>
      </c>
      <c r="T210" s="14">
        <f>G210*8</f>
        <v>96</v>
      </c>
      <c r="U210" s="14">
        <f t="shared" si="86"/>
        <v>258</v>
      </c>
    </row>
    <row r="211" spans="1:21" s="7" customFormat="1" x14ac:dyDescent="0.3">
      <c r="A211" s="33" t="s">
        <v>46</v>
      </c>
      <c r="B211" s="36" t="s">
        <v>2</v>
      </c>
      <c r="C211" s="5">
        <v>60000</v>
      </c>
      <c r="D211" s="2">
        <f t="shared" si="84"/>
        <v>1800000</v>
      </c>
      <c r="E211" s="15" t="s">
        <v>92</v>
      </c>
      <c r="F211" s="25" t="s">
        <v>271</v>
      </c>
      <c r="G211" s="16">
        <v>12</v>
      </c>
      <c r="H211" s="16">
        <v>1</v>
      </c>
      <c r="I211" s="16">
        <f>H211*6</f>
        <v>6</v>
      </c>
      <c r="J211" s="37">
        <v>44562</v>
      </c>
      <c r="K211" s="37">
        <v>44926</v>
      </c>
      <c r="L211" s="47">
        <f t="shared" si="85"/>
        <v>1</v>
      </c>
      <c r="M211" s="48"/>
      <c r="N211" s="14"/>
      <c r="O211" s="20">
        <f t="shared" si="87"/>
        <v>0</v>
      </c>
      <c r="P211" s="39">
        <v>0.2</v>
      </c>
      <c r="Q211" s="20">
        <f t="shared" si="88"/>
        <v>0</v>
      </c>
      <c r="R211" s="20">
        <f t="shared" si="89"/>
        <v>0</v>
      </c>
      <c r="S211" s="14">
        <f>G211*13.5</f>
        <v>162</v>
      </c>
      <c r="T211" s="14">
        <f>G211*8</f>
        <v>96</v>
      </c>
      <c r="U211" s="14">
        <f t="shared" si="86"/>
        <v>258</v>
      </c>
    </row>
    <row r="212" spans="1:21" s="7" customFormat="1" x14ac:dyDescent="0.3">
      <c r="A212" s="33" t="s">
        <v>46</v>
      </c>
      <c r="B212" s="36" t="s">
        <v>2</v>
      </c>
      <c r="C212" s="5">
        <v>60000</v>
      </c>
      <c r="D212" s="2">
        <f t="shared" si="84"/>
        <v>1800000</v>
      </c>
      <c r="E212" s="38" t="s">
        <v>233</v>
      </c>
      <c r="F212" s="43" t="s">
        <v>272</v>
      </c>
      <c r="G212" s="40">
        <v>12</v>
      </c>
      <c r="H212" s="16">
        <v>1</v>
      </c>
      <c r="I212" s="16">
        <v>6</v>
      </c>
      <c r="J212" s="37">
        <v>44562</v>
      </c>
      <c r="K212" s="37">
        <v>44926</v>
      </c>
      <c r="L212" s="47">
        <f t="shared" si="85"/>
        <v>1</v>
      </c>
      <c r="M212" s="48"/>
      <c r="N212" s="14"/>
      <c r="O212" s="20">
        <f t="shared" si="87"/>
        <v>0</v>
      </c>
      <c r="P212" s="39">
        <v>0.2</v>
      </c>
      <c r="Q212" s="20">
        <f t="shared" si="88"/>
        <v>0</v>
      </c>
      <c r="R212" s="20">
        <f t="shared" si="89"/>
        <v>0</v>
      </c>
      <c r="S212" s="14">
        <f>G212*13.5</f>
        <v>162</v>
      </c>
      <c r="T212" s="14">
        <f>G212*8</f>
        <v>96</v>
      </c>
      <c r="U212" s="14">
        <f t="shared" si="86"/>
        <v>258</v>
      </c>
    </row>
    <row r="213" spans="1:21" s="7" customFormat="1" x14ac:dyDescent="0.3">
      <c r="A213" s="33" t="s">
        <v>46</v>
      </c>
      <c r="B213" s="36" t="s">
        <v>2</v>
      </c>
      <c r="C213" s="5">
        <v>60000</v>
      </c>
      <c r="D213" s="2">
        <f>C213*30</f>
        <v>1800000</v>
      </c>
      <c r="E213" s="38" t="s">
        <v>233</v>
      </c>
      <c r="F213" s="43" t="s">
        <v>299</v>
      </c>
      <c r="G213" s="40">
        <v>12</v>
      </c>
      <c r="H213" s="16">
        <v>1</v>
      </c>
      <c r="I213" s="16">
        <v>6</v>
      </c>
      <c r="J213" s="37">
        <v>44562</v>
      </c>
      <c r="K213" s="37">
        <v>44926</v>
      </c>
      <c r="L213" s="47">
        <f t="shared" si="85"/>
        <v>1</v>
      </c>
      <c r="M213" s="48"/>
      <c r="N213" s="14"/>
      <c r="O213" s="20">
        <f>H213*L213*M213</f>
        <v>0</v>
      </c>
      <c r="P213" s="39">
        <v>0.2</v>
      </c>
      <c r="Q213" s="20">
        <f t="shared" si="88"/>
        <v>0</v>
      </c>
      <c r="R213" s="20">
        <f t="shared" si="89"/>
        <v>0</v>
      </c>
      <c r="S213" s="14">
        <f>G213*13.5</f>
        <v>162</v>
      </c>
      <c r="T213" s="14">
        <f>G213*8</f>
        <v>96</v>
      </c>
      <c r="U213" s="14">
        <f t="shared" si="86"/>
        <v>258</v>
      </c>
    </row>
    <row r="214" spans="1:21" s="7" customFormat="1" x14ac:dyDescent="0.3">
      <c r="A214" s="33" t="s">
        <v>46</v>
      </c>
      <c r="B214" s="36" t="s">
        <v>2</v>
      </c>
      <c r="C214" s="5">
        <v>60000</v>
      </c>
      <c r="D214" s="2">
        <f>C214*30</f>
        <v>1800000</v>
      </c>
      <c r="E214" s="38" t="s">
        <v>233</v>
      </c>
      <c r="F214" s="43" t="s">
        <v>291</v>
      </c>
      <c r="G214" s="40">
        <f>10</f>
        <v>10</v>
      </c>
      <c r="H214" s="16">
        <v>1</v>
      </c>
      <c r="I214" s="16">
        <v>6</v>
      </c>
      <c r="J214" s="37">
        <v>44562</v>
      </c>
      <c r="K214" s="37">
        <v>44926</v>
      </c>
      <c r="L214" s="47">
        <f t="shared" si="85"/>
        <v>1</v>
      </c>
      <c r="M214" s="48"/>
      <c r="N214" s="14"/>
      <c r="O214" s="20">
        <f>H214*L214*M214</f>
        <v>0</v>
      </c>
      <c r="P214" s="39">
        <v>0.2</v>
      </c>
      <c r="Q214" s="20">
        <f t="shared" ref="Q214" si="90">M214-M214*P214</f>
        <v>0</v>
      </c>
      <c r="R214" s="20">
        <f t="shared" ref="R214" si="91">O214-O214*P214</f>
        <v>0</v>
      </c>
      <c r="S214" s="14">
        <f>G214*13.5</f>
        <v>135</v>
      </c>
      <c r="T214" s="14">
        <f>G214*8</f>
        <v>80</v>
      </c>
      <c r="U214" s="14">
        <f t="shared" si="86"/>
        <v>215</v>
      </c>
    </row>
    <row r="215" spans="1:21" s="7" customFormat="1" x14ac:dyDescent="0.3">
      <c r="A215" s="33" t="s">
        <v>46</v>
      </c>
      <c r="B215" s="36" t="s">
        <v>2</v>
      </c>
      <c r="C215" s="5">
        <v>60000</v>
      </c>
      <c r="D215" s="2">
        <f t="shared" si="84"/>
        <v>1800000</v>
      </c>
      <c r="E215" s="15" t="s">
        <v>194</v>
      </c>
      <c r="F215" s="68" t="s">
        <v>286</v>
      </c>
      <c r="G215" s="40">
        <f>4*1.5</f>
        <v>6</v>
      </c>
      <c r="H215" s="16">
        <v>1</v>
      </c>
      <c r="I215" s="16">
        <v>2</v>
      </c>
      <c r="J215" s="37">
        <v>44562</v>
      </c>
      <c r="K215" s="37">
        <v>44926</v>
      </c>
      <c r="L215" s="47">
        <f t="shared" si="85"/>
        <v>1</v>
      </c>
      <c r="M215" s="48"/>
      <c r="N215" s="14"/>
      <c r="O215" s="20">
        <f t="shared" si="87"/>
        <v>0</v>
      </c>
      <c r="P215" s="39">
        <v>0.2</v>
      </c>
      <c r="Q215" s="20">
        <f t="shared" si="88"/>
        <v>0</v>
      </c>
      <c r="R215" s="20">
        <f t="shared" si="89"/>
        <v>0</v>
      </c>
      <c r="S215" s="14">
        <f>H215*96</f>
        <v>96</v>
      </c>
      <c r="T215" s="14">
        <f>H215*96</f>
        <v>96</v>
      </c>
      <c r="U215" s="14">
        <f t="shared" si="86"/>
        <v>192</v>
      </c>
    </row>
    <row r="216" spans="1:21" s="7" customFormat="1" ht="17.399999999999999" customHeight="1" x14ac:dyDescent="0.3">
      <c r="A216" s="33" t="s">
        <v>46</v>
      </c>
      <c r="B216" s="36" t="s">
        <v>2</v>
      </c>
      <c r="C216" s="5">
        <v>60000</v>
      </c>
      <c r="D216" s="2">
        <f t="shared" si="84"/>
        <v>1800000</v>
      </c>
      <c r="E216" s="15" t="s">
        <v>194</v>
      </c>
      <c r="F216" s="68" t="s">
        <v>287</v>
      </c>
      <c r="G216" s="40">
        <f>4*1.5</f>
        <v>6</v>
      </c>
      <c r="H216" s="16">
        <v>1</v>
      </c>
      <c r="I216" s="16">
        <v>2</v>
      </c>
      <c r="J216" s="37">
        <v>44562</v>
      </c>
      <c r="K216" s="37">
        <v>44926</v>
      </c>
      <c r="L216" s="47">
        <f t="shared" si="85"/>
        <v>1</v>
      </c>
      <c r="M216" s="48"/>
      <c r="N216" s="14"/>
      <c r="O216" s="20">
        <f t="shared" si="87"/>
        <v>0</v>
      </c>
      <c r="P216" s="39">
        <v>0.2</v>
      </c>
      <c r="Q216" s="20">
        <f t="shared" si="88"/>
        <v>0</v>
      </c>
      <c r="R216" s="20">
        <f t="shared" si="89"/>
        <v>0</v>
      </c>
      <c r="S216" s="14">
        <f>H216*96</f>
        <v>96</v>
      </c>
      <c r="T216" s="14">
        <f>H216*96</f>
        <v>96</v>
      </c>
      <c r="U216" s="14">
        <f t="shared" si="86"/>
        <v>192</v>
      </c>
    </row>
    <row r="217" spans="1:21" s="7" customFormat="1" x14ac:dyDescent="0.3">
      <c r="A217" s="33" t="s">
        <v>46</v>
      </c>
      <c r="B217" s="36" t="s">
        <v>2</v>
      </c>
      <c r="C217" s="5">
        <v>60000</v>
      </c>
      <c r="D217" s="2">
        <f t="shared" si="84"/>
        <v>1800000</v>
      </c>
      <c r="E217" s="15" t="s">
        <v>204</v>
      </c>
      <c r="F217" s="68" t="s">
        <v>288</v>
      </c>
      <c r="G217" s="40">
        <f>2*2</f>
        <v>4</v>
      </c>
      <c r="H217" s="16">
        <v>1</v>
      </c>
      <c r="I217" s="16">
        <f>H217*4</f>
        <v>4</v>
      </c>
      <c r="J217" s="37">
        <v>44562</v>
      </c>
      <c r="K217" s="37">
        <v>44926</v>
      </c>
      <c r="L217" s="47">
        <f t="shared" si="85"/>
        <v>1</v>
      </c>
      <c r="M217" s="48"/>
      <c r="N217" s="14"/>
      <c r="O217" s="20">
        <f t="shared" si="87"/>
        <v>0</v>
      </c>
      <c r="P217" s="39">
        <v>0.2</v>
      </c>
      <c r="Q217" s="20">
        <f t="shared" si="88"/>
        <v>0</v>
      </c>
      <c r="R217" s="20">
        <f t="shared" si="89"/>
        <v>0</v>
      </c>
      <c r="S217" s="14">
        <f>H217*480</f>
        <v>480</v>
      </c>
      <c r="T217" s="14">
        <f>H217*128</f>
        <v>128</v>
      </c>
      <c r="U217" s="14">
        <f t="shared" si="86"/>
        <v>608</v>
      </c>
    </row>
    <row r="218" spans="1:21" s="7" customFormat="1" ht="17.399999999999999" customHeight="1" x14ac:dyDescent="0.3">
      <c r="A218" s="33" t="s">
        <v>46</v>
      </c>
      <c r="B218" s="36" t="s">
        <v>2</v>
      </c>
      <c r="C218" s="5">
        <v>60000</v>
      </c>
      <c r="D218" s="2">
        <f t="shared" si="84"/>
        <v>1800000</v>
      </c>
      <c r="E218" s="15" t="s">
        <v>80</v>
      </c>
      <c r="F218" s="68" t="s">
        <v>289</v>
      </c>
      <c r="G218" s="40" t="s">
        <v>193</v>
      </c>
      <c r="H218" s="16">
        <v>1</v>
      </c>
      <c r="I218" s="16">
        <v>3</v>
      </c>
      <c r="J218" s="37">
        <v>44562</v>
      </c>
      <c r="K218" s="37">
        <v>44926</v>
      </c>
      <c r="L218" s="47">
        <f t="shared" si="85"/>
        <v>1</v>
      </c>
      <c r="M218" s="48"/>
      <c r="N218" s="14"/>
      <c r="O218" s="20">
        <f t="shared" si="87"/>
        <v>0</v>
      </c>
      <c r="P218" s="39">
        <v>0.2</v>
      </c>
      <c r="Q218" s="20">
        <f t="shared" si="88"/>
        <v>0</v>
      </c>
      <c r="R218" s="20">
        <f t="shared" si="89"/>
        <v>0</v>
      </c>
      <c r="S218" s="14">
        <f>0</f>
        <v>0</v>
      </c>
      <c r="T218" s="14">
        <f>0</f>
        <v>0</v>
      </c>
      <c r="U218" s="14">
        <f t="shared" si="86"/>
        <v>0</v>
      </c>
    </row>
    <row r="219" spans="1:21" s="7" customFormat="1" x14ac:dyDescent="0.3">
      <c r="A219" s="33" t="s">
        <v>46</v>
      </c>
      <c r="B219" s="36" t="s">
        <v>2</v>
      </c>
      <c r="C219" s="5">
        <v>60000</v>
      </c>
      <c r="D219" s="2">
        <f t="shared" si="84"/>
        <v>1800000</v>
      </c>
      <c r="E219" s="15" t="s">
        <v>80</v>
      </c>
      <c r="F219" s="68" t="s">
        <v>290</v>
      </c>
      <c r="G219" s="40" t="s">
        <v>193</v>
      </c>
      <c r="H219" s="16">
        <v>1</v>
      </c>
      <c r="I219" s="16">
        <v>3</v>
      </c>
      <c r="J219" s="37">
        <v>44562</v>
      </c>
      <c r="K219" s="37">
        <v>44926</v>
      </c>
      <c r="L219" s="47">
        <f t="shared" si="85"/>
        <v>1</v>
      </c>
      <c r="M219" s="48"/>
      <c r="N219" s="14"/>
      <c r="O219" s="20">
        <f t="shared" si="87"/>
        <v>0</v>
      </c>
      <c r="P219" s="39">
        <v>0.2</v>
      </c>
      <c r="Q219" s="20">
        <f t="shared" si="88"/>
        <v>0</v>
      </c>
      <c r="R219" s="20">
        <f t="shared" si="89"/>
        <v>0</v>
      </c>
      <c r="S219" s="14">
        <f>0</f>
        <v>0</v>
      </c>
      <c r="T219" s="14">
        <f>0</f>
        <v>0</v>
      </c>
      <c r="U219" s="14">
        <f t="shared" si="86"/>
        <v>0</v>
      </c>
    </row>
    <row r="220" spans="1:21" s="7" customFormat="1" x14ac:dyDescent="0.3">
      <c r="A220" s="33" t="s">
        <v>46</v>
      </c>
      <c r="B220" s="36" t="s">
        <v>2</v>
      </c>
      <c r="C220" s="5">
        <v>60000</v>
      </c>
      <c r="D220" s="2">
        <f t="shared" si="84"/>
        <v>1800000</v>
      </c>
      <c r="E220" s="15" t="s">
        <v>197</v>
      </c>
      <c r="F220" s="68" t="s">
        <v>198</v>
      </c>
      <c r="G220" s="40">
        <v>60</v>
      </c>
      <c r="H220" s="16">
        <v>1</v>
      </c>
      <c r="I220" s="16">
        <v>2</v>
      </c>
      <c r="J220" s="37">
        <v>44562</v>
      </c>
      <c r="K220" s="37">
        <v>44926</v>
      </c>
      <c r="L220" s="47">
        <f t="shared" si="85"/>
        <v>1</v>
      </c>
      <c r="M220" s="48"/>
      <c r="N220" s="14"/>
      <c r="O220" s="20">
        <f t="shared" si="87"/>
        <v>0</v>
      </c>
      <c r="P220" s="39">
        <v>0.2</v>
      </c>
      <c r="Q220" s="20">
        <f t="shared" si="88"/>
        <v>0</v>
      </c>
      <c r="R220" s="20">
        <f t="shared" si="89"/>
        <v>0</v>
      </c>
      <c r="S220" s="14">
        <f t="shared" ref="S220:S229" si="92">G220*13.5</f>
        <v>810</v>
      </c>
      <c r="T220" s="14">
        <f t="shared" ref="T220:T229" si="93">G220*8</f>
        <v>480</v>
      </c>
      <c r="U220" s="14">
        <f t="shared" si="86"/>
        <v>1290</v>
      </c>
    </row>
    <row r="221" spans="1:21" s="7" customFormat="1" x14ac:dyDescent="0.3">
      <c r="A221" s="33" t="s">
        <v>46</v>
      </c>
      <c r="B221" s="36" t="s">
        <v>2</v>
      </c>
      <c r="C221" s="5">
        <v>60000</v>
      </c>
      <c r="D221" s="2">
        <f t="shared" si="84"/>
        <v>1800000</v>
      </c>
      <c r="E221" s="15" t="s">
        <v>205</v>
      </c>
      <c r="F221" s="68" t="s">
        <v>192</v>
      </c>
      <c r="G221" s="40">
        <v>60</v>
      </c>
      <c r="H221" s="16">
        <v>1</v>
      </c>
      <c r="I221" s="16">
        <v>2</v>
      </c>
      <c r="J221" s="37">
        <v>44562</v>
      </c>
      <c r="K221" s="37">
        <v>44926</v>
      </c>
      <c r="L221" s="47">
        <f t="shared" si="85"/>
        <v>1</v>
      </c>
      <c r="M221" s="48"/>
      <c r="N221" s="14"/>
      <c r="O221" s="20">
        <f t="shared" si="87"/>
        <v>0</v>
      </c>
      <c r="P221" s="39">
        <v>0.2</v>
      </c>
      <c r="Q221" s="20">
        <f t="shared" si="88"/>
        <v>0</v>
      </c>
      <c r="R221" s="20">
        <f t="shared" si="89"/>
        <v>0</v>
      </c>
      <c r="S221" s="14">
        <f t="shared" si="92"/>
        <v>810</v>
      </c>
      <c r="T221" s="14">
        <f t="shared" si="93"/>
        <v>480</v>
      </c>
      <c r="U221" s="14">
        <f t="shared" si="86"/>
        <v>1290</v>
      </c>
    </row>
    <row r="222" spans="1:21" s="7" customFormat="1" x14ac:dyDescent="0.3">
      <c r="A222" s="33" t="s">
        <v>46</v>
      </c>
      <c r="B222" s="36" t="s">
        <v>2</v>
      </c>
      <c r="C222" s="5">
        <v>60000</v>
      </c>
      <c r="D222" s="2">
        <f t="shared" si="84"/>
        <v>1800000</v>
      </c>
      <c r="E222" s="15" t="s">
        <v>219</v>
      </c>
      <c r="F222" s="68" t="s">
        <v>215</v>
      </c>
      <c r="G222" s="40">
        <v>60</v>
      </c>
      <c r="H222" s="16">
        <v>1</v>
      </c>
      <c r="I222" s="16">
        <v>2</v>
      </c>
      <c r="J222" s="37">
        <v>44562</v>
      </c>
      <c r="K222" s="37">
        <v>44926</v>
      </c>
      <c r="L222" s="47">
        <f t="shared" si="85"/>
        <v>1</v>
      </c>
      <c r="M222" s="48"/>
      <c r="N222" s="14"/>
      <c r="O222" s="20">
        <f t="shared" si="87"/>
        <v>0</v>
      </c>
      <c r="P222" s="39">
        <v>0.2</v>
      </c>
      <c r="Q222" s="20">
        <f t="shared" si="88"/>
        <v>0</v>
      </c>
      <c r="R222" s="20">
        <f t="shared" si="89"/>
        <v>0</v>
      </c>
      <c r="S222" s="14">
        <f t="shared" si="92"/>
        <v>810</v>
      </c>
      <c r="T222" s="14">
        <f t="shared" si="93"/>
        <v>480</v>
      </c>
      <c r="U222" s="14">
        <f t="shared" si="86"/>
        <v>1290</v>
      </c>
    </row>
    <row r="223" spans="1:21" s="7" customFormat="1" x14ac:dyDescent="0.3">
      <c r="A223" s="33" t="s">
        <v>46</v>
      </c>
      <c r="B223" s="36" t="s">
        <v>2</v>
      </c>
      <c r="C223" s="5">
        <v>60000</v>
      </c>
      <c r="D223" s="2">
        <f t="shared" si="84"/>
        <v>1800000</v>
      </c>
      <c r="E223" s="15" t="s">
        <v>216</v>
      </c>
      <c r="F223" s="68" t="s">
        <v>217</v>
      </c>
      <c r="G223" s="40">
        <v>60</v>
      </c>
      <c r="H223" s="16">
        <v>1</v>
      </c>
      <c r="I223" s="16">
        <v>6</v>
      </c>
      <c r="J223" s="37">
        <v>44562</v>
      </c>
      <c r="K223" s="37">
        <v>44926</v>
      </c>
      <c r="L223" s="47">
        <f t="shared" si="85"/>
        <v>1</v>
      </c>
      <c r="M223" s="48"/>
      <c r="N223" s="14"/>
      <c r="O223" s="20">
        <f t="shared" si="87"/>
        <v>0</v>
      </c>
      <c r="P223" s="39">
        <v>0.2</v>
      </c>
      <c r="Q223" s="20">
        <f t="shared" si="88"/>
        <v>0</v>
      </c>
      <c r="R223" s="20">
        <f t="shared" si="89"/>
        <v>0</v>
      </c>
      <c r="S223" s="14">
        <f t="shared" si="92"/>
        <v>810</v>
      </c>
      <c r="T223" s="14">
        <f t="shared" si="93"/>
        <v>480</v>
      </c>
      <c r="U223" s="14">
        <f t="shared" si="86"/>
        <v>1290</v>
      </c>
    </row>
    <row r="224" spans="1:21" s="7" customFormat="1" x14ac:dyDescent="0.3">
      <c r="A224" s="33" t="s">
        <v>46</v>
      </c>
      <c r="B224" s="36" t="s">
        <v>2</v>
      </c>
      <c r="C224" s="5">
        <v>60000</v>
      </c>
      <c r="D224" s="2">
        <f t="shared" si="84"/>
        <v>1800000</v>
      </c>
      <c r="E224" s="15" t="s">
        <v>210</v>
      </c>
      <c r="F224" s="68" t="s">
        <v>211</v>
      </c>
      <c r="G224" s="40">
        <v>60</v>
      </c>
      <c r="H224" s="16">
        <v>1</v>
      </c>
      <c r="I224" s="16">
        <v>6</v>
      </c>
      <c r="J224" s="37">
        <v>44562</v>
      </c>
      <c r="K224" s="37">
        <v>44926</v>
      </c>
      <c r="L224" s="47">
        <f t="shared" si="85"/>
        <v>1</v>
      </c>
      <c r="M224" s="48"/>
      <c r="N224" s="14"/>
      <c r="O224" s="20">
        <f t="shared" si="87"/>
        <v>0</v>
      </c>
      <c r="P224" s="39">
        <v>0.2</v>
      </c>
      <c r="Q224" s="20">
        <f t="shared" si="88"/>
        <v>0</v>
      </c>
      <c r="R224" s="20">
        <f t="shared" si="89"/>
        <v>0</v>
      </c>
      <c r="S224" s="14">
        <f t="shared" si="92"/>
        <v>810</v>
      </c>
      <c r="T224" s="14">
        <f t="shared" si="93"/>
        <v>480</v>
      </c>
      <c r="U224" s="14">
        <f t="shared" si="86"/>
        <v>1290</v>
      </c>
    </row>
    <row r="225" spans="1:21" s="7" customFormat="1" x14ac:dyDescent="0.3">
      <c r="A225" s="33" t="s">
        <v>46</v>
      </c>
      <c r="B225" s="36" t="s">
        <v>2</v>
      </c>
      <c r="C225" s="5">
        <v>60000</v>
      </c>
      <c r="D225" s="2">
        <f t="shared" si="84"/>
        <v>1800000</v>
      </c>
      <c r="E225" s="15" t="s">
        <v>214</v>
      </c>
      <c r="F225" s="68" t="s">
        <v>215</v>
      </c>
      <c r="G225" s="40">
        <v>30</v>
      </c>
      <c r="H225" s="16">
        <v>1</v>
      </c>
      <c r="I225" s="42">
        <v>2</v>
      </c>
      <c r="J225" s="37">
        <v>44562</v>
      </c>
      <c r="K225" s="37">
        <v>44926</v>
      </c>
      <c r="L225" s="47">
        <f t="shared" si="85"/>
        <v>1</v>
      </c>
      <c r="M225" s="48"/>
      <c r="N225" s="14"/>
      <c r="O225" s="20">
        <f t="shared" si="87"/>
        <v>0</v>
      </c>
      <c r="P225" s="39">
        <v>0.2</v>
      </c>
      <c r="Q225" s="20">
        <f t="shared" si="88"/>
        <v>0</v>
      </c>
      <c r="R225" s="20">
        <f t="shared" si="89"/>
        <v>0</v>
      </c>
      <c r="S225" s="14">
        <f t="shared" si="92"/>
        <v>405</v>
      </c>
      <c r="T225" s="14">
        <f t="shared" si="93"/>
        <v>240</v>
      </c>
      <c r="U225" s="14">
        <f t="shared" si="86"/>
        <v>645</v>
      </c>
    </row>
    <row r="226" spans="1:21" s="7" customFormat="1" x14ac:dyDescent="0.3">
      <c r="A226" s="33" t="s">
        <v>46</v>
      </c>
      <c r="B226" s="36" t="s">
        <v>2</v>
      </c>
      <c r="C226" s="5">
        <v>60000</v>
      </c>
      <c r="D226" s="2">
        <f t="shared" si="84"/>
        <v>1800000</v>
      </c>
      <c r="E226" s="15" t="s">
        <v>200</v>
      </c>
      <c r="F226" s="25" t="s">
        <v>273</v>
      </c>
      <c r="G226" s="16">
        <v>28</v>
      </c>
      <c r="H226" s="16">
        <v>1</v>
      </c>
      <c r="I226" s="42">
        <v>1</v>
      </c>
      <c r="J226" s="37">
        <v>44562</v>
      </c>
      <c r="K226" s="37">
        <v>44926</v>
      </c>
      <c r="L226" s="47">
        <f t="shared" si="85"/>
        <v>1</v>
      </c>
      <c r="M226" s="48"/>
      <c r="N226" s="14"/>
      <c r="O226" s="20">
        <f t="shared" si="87"/>
        <v>0</v>
      </c>
      <c r="P226" s="39">
        <v>0.2</v>
      </c>
      <c r="Q226" s="20">
        <f t="shared" si="88"/>
        <v>0</v>
      </c>
      <c r="R226" s="20">
        <f t="shared" si="89"/>
        <v>0</v>
      </c>
      <c r="S226" s="14">
        <f t="shared" si="92"/>
        <v>378</v>
      </c>
      <c r="T226" s="14">
        <f t="shared" si="93"/>
        <v>224</v>
      </c>
      <c r="U226" s="14">
        <f t="shared" si="86"/>
        <v>602</v>
      </c>
    </row>
    <row r="227" spans="1:21" s="7" customFormat="1" x14ac:dyDescent="0.3">
      <c r="A227" s="33" t="s">
        <v>46</v>
      </c>
      <c r="B227" s="36" t="s">
        <v>2</v>
      </c>
      <c r="C227" s="5">
        <v>60000</v>
      </c>
      <c r="D227" s="2">
        <f t="shared" ref="D227:D253" si="94">C227*30</f>
        <v>1800000</v>
      </c>
      <c r="E227" s="15" t="s">
        <v>218</v>
      </c>
      <c r="F227" s="43" t="s">
        <v>274</v>
      </c>
      <c r="G227" s="40">
        <v>13</v>
      </c>
      <c r="H227" s="16">
        <v>1</v>
      </c>
      <c r="I227" s="16">
        <v>2</v>
      </c>
      <c r="J227" s="37">
        <v>44562</v>
      </c>
      <c r="K227" s="37">
        <v>44926</v>
      </c>
      <c r="L227" s="47">
        <f t="shared" si="85"/>
        <v>1</v>
      </c>
      <c r="M227" s="48"/>
      <c r="N227" s="14"/>
      <c r="O227" s="20">
        <f t="shared" si="87"/>
        <v>0</v>
      </c>
      <c r="P227" s="39">
        <v>0.2</v>
      </c>
      <c r="Q227" s="20">
        <f t="shared" si="88"/>
        <v>0</v>
      </c>
      <c r="R227" s="20">
        <f t="shared" si="89"/>
        <v>0</v>
      </c>
      <c r="S227" s="14">
        <f t="shared" si="92"/>
        <v>175.5</v>
      </c>
      <c r="T227" s="14">
        <f t="shared" si="93"/>
        <v>104</v>
      </c>
      <c r="U227" s="14">
        <f t="shared" si="86"/>
        <v>279.5</v>
      </c>
    </row>
    <row r="228" spans="1:21" s="7" customFormat="1" x14ac:dyDescent="0.3">
      <c r="A228" s="33" t="s">
        <v>46</v>
      </c>
      <c r="B228" s="36" t="s">
        <v>2</v>
      </c>
      <c r="C228" s="5">
        <v>60000</v>
      </c>
      <c r="D228" s="2">
        <f t="shared" si="94"/>
        <v>1800000</v>
      </c>
      <c r="E228" s="15" t="s">
        <v>208</v>
      </c>
      <c r="F228" s="43" t="s">
        <v>209</v>
      </c>
      <c r="G228" s="40">
        <v>20</v>
      </c>
      <c r="H228" s="16">
        <v>1</v>
      </c>
      <c r="I228" s="16">
        <v>2</v>
      </c>
      <c r="J228" s="37">
        <v>44562</v>
      </c>
      <c r="K228" s="37">
        <v>44926</v>
      </c>
      <c r="L228" s="47">
        <f t="shared" si="85"/>
        <v>1</v>
      </c>
      <c r="M228" s="48"/>
      <c r="N228" s="14"/>
      <c r="O228" s="20">
        <f t="shared" si="87"/>
        <v>0</v>
      </c>
      <c r="P228" s="39">
        <v>0.2</v>
      </c>
      <c r="Q228" s="20">
        <f t="shared" si="88"/>
        <v>0</v>
      </c>
      <c r="R228" s="20">
        <f t="shared" si="89"/>
        <v>0</v>
      </c>
      <c r="S228" s="14">
        <f t="shared" si="92"/>
        <v>270</v>
      </c>
      <c r="T228" s="14">
        <f t="shared" si="93"/>
        <v>160</v>
      </c>
      <c r="U228" s="14">
        <f t="shared" si="86"/>
        <v>430</v>
      </c>
    </row>
    <row r="229" spans="1:21" s="7" customFormat="1" x14ac:dyDescent="0.3">
      <c r="A229" s="33" t="s">
        <v>46</v>
      </c>
      <c r="B229" s="36" t="s">
        <v>2</v>
      </c>
      <c r="C229" s="5">
        <v>60000</v>
      </c>
      <c r="D229" s="2">
        <f t="shared" si="94"/>
        <v>1800000</v>
      </c>
      <c r="E229" s="15" t="s">
        <v>201</v>
      </c>
      <c r="F229" s="69" t="s">
        <v>199</v>
      </c>
      <c r="G229" s="40">
        <v>30</v>
      </c>
      <c r="H229" s="16">
        <v>1</v>
      </c>
      <c r="I229" s="16">
        <v>2</v>
      </c>
      <c r="J229" s="37">
        <v>44562</v>
      </c>
      <c r="K229" s="37">
        <v>44926</v>
      </c>
      <c r="L229" s="47">
        <f t="shared" si="85"/>
        <v>1</v>
      </c>
      <c r="M229" s="48"/>
      <c r="N229" s="14"/>
      <c r="O229" s="20">
        <f t="shared" si="87"/>
        <v>0</v>
      </c>
      <c r="P229" s="39">
        <v>0.2</v>
      </c>
      <c r="Q229" s="20">
        <f t="shared" si="88"/>
        <v>0</v>
      </c>
      <c r="R229" s="20">
        <f t="shared" si="89"/>
        <v>0</v>
      </c>
      <c r="S229" s="14">
        <f t="shared" si="92"/>
        <v>405</v>
      </c>
      <c r="T229" s="14">
        <f t="shared" si="93"/>
        <v>240</v>
      </c>
      <c r="U229" s="14">
        <f t="shared" si="86"/>
        <v>645</v>
      </c>
    </row>
    <row r="230" spans="1:21" s="7" customFormat="1" x14ac:dyDescent="0.3">
      <c r="A230" s="33" t="s">
        <v>46</v>
      </c>
      <c r="B230" s="36" t="s">
        <v>2</v>
      </c>
      <c r="C230" s="5">
        <v>60000</v>
      </c>
      <c r="D230" s="2">
        <f t="shared" si="94"/>
        <v>1800000</v>
      </c>
      <c r="E230" s="15" t="s">
        <v>222</v>
      </c>
      <c r="F230" s="43" t="s">
        <v>275</v>
      </c>
      <c r="G230" s="40">
        <v>62</v>
      </c>
      <c r="H230" s="16">
        <v>1</v>
      </c>
      <c r="I230" s="16">
        <f>H230*2</f>
        <v>2</v>
      </c>
      <c r="J230" s="37">
        <v>44562</v>
      </c>
      <c r="K230" s="37">
        <v>44926</v>
      </c>
      <c r="L230" s="47">
        <f t="shared" si="85"/>
        <v>1</v>
      </c>
      <c r="M230" s="48"/>
      <c r="N230" s="14"/>
      <c r="O230" s="20">
        <f t="shared" si="87"/>
        <v>0</v>
      </c>
      <c r="P230" s="39">
        <v>0.2</v>
      </c>
      <c r="Q230" s="20">
        <f t="shared" si="88"/>
        <v>0</v>
      </c>
      <c r="R230" s="20">
        <f t="shared" si="89"/>
        <v>0</v>
      </c>
      <c r="S230" s="14">
        <f>H230*3600</f>
        <v>3600</v>
      </c>
      <c r="T230" s="14">
        <f>H230*1200</f>
        <v>1200</v>
      </c>
      <c r="U230" s="14">
        <f t="shared" si="86"/>
        <v>4800</v>
      </c>
    </row>
    <row r="231" spans="1:21" s="7" customFormat="1" x14ac:dyDescent="0.3">
      <c r="A231" s="33" t="s">
        <v>46</v>
      </c>
      <c r="B231" s="36" t="s">
        <v>2</v>
      </c>
      <c r="C231" s="5">
        <v>60000</v>
      </c>
      <c r="D231" s="2">
        <f t="shared" si="94"/>
        <v>1800000</v>
      </c>
      <c r="E231" s="15" t="s">
        <v>223</v>
      </c>
      <c r="F231" s="43" t="s">
        <v>276</v>
      </c>
      <c r="G231" s="40">
        <v>18</v>
      </c>
      <c r="H231" s="16">
        <v>4</v>
      </c>
      <c r="I231" s="16">
        <v>8</v>
      </c>
      <c r="J231" s="37">
        <v>44562</v>
      </c>
      <c r="K231" s="37">
        <v>44926</v>
      </c>
      <c r="L231" s="47">
        <f t="shared" si="85"/>
        <v>1</v>
      </c>
      <c r="M231" s="48"/>
      <c r="N231" s="14"/>
      <c r="O231" s="20">
        <f t="shared" si="87"/>
        <v>0</v>
      </c>
      <c r="P231" s="39">
        <v>0.2</v>
      </c>
      <c r="Q231" s="20">
        <f t="shared" si="88"/>
        <v>0</v>
      </c>
      <c r="R231" s="20">
        <f t="shared" si="89"/>
        <v>0</v>
      </c>
      <c r="S231" s="14">
        <f>H231*270</f>
        <v>1080</v>
      </c>
      <c r="T231" s="14">
        <f>H231*150</f>
        <v>600</v>
      </c>
      <c r="U231" s="14">
        <f t="shared" si="86"/>
        <v>1680</v>
      </c>
    </row>
    <row r="232" spans="1:21" s="7" customFormat="1" x14ac:dyDescent="0.3">
      <c r="A232" s="33" t="s">
        <v>46</v>
      </c>
      <c r="B232" s="36" t="s">
        <v>2</v>
      </c>
      <c r="C232" s="5">
        <v>60000</v>
      </c>
      <c r="D232" s="2">
        <f t="shared" si="94"/>
        <v>1800000</v>
      </c>
      <c r="E232" s="15" t="s">
        <v>93</v>
      </c>
      <c r="F232" s="43" t="s">
        <v>277</v>
      </c>
      <c r="G232" s="40">
        <v>144</v>
      </c>
      <c r="H232" s="16">
        <v>1</v>
      </c>
      <c r="I232" s="16">
        <v>4</v>
      </c>
      <c r="J232" s="37">
        <v>44562</v>
      </c>
      <c r="K232" s="37">
        <v>44926</v>
      </c>
      <c r="L232" s="47">
        <f t="shared" si="85"/>
        <v>1</v>
      </c>
      <c r="M232" s="48"/>
      <c r="N232" s="14"/>
      <c r="O232" s="20">
        <f t="shared" si="87"/>
        <v>0</v>
      </c>
      <c r="P232" s="39">
        <v>0.2</v>
      </c>
      <c r="Q232" s="20">
        <f t="shared" si="88"/>
        <v>0</v>
      </c>
      <c r="R232" s="20">
        <f t="shared" si="89"/>
        <v>0</v>
      </c>
      <c r="S232" s="14">
        <f>H232*1008</f>
        <v>1008</v>
      </c>
      <c r="T232" s="14">
        <f>H232*1152</f>
        <v>1152</v>
      </c>
      <c r="U232" s="14">
        <f t="shared" si="86"/>
        <v>2160</v>
      </c>
    </row>
    <row r="233" spans="1:21" s="7" customFormat="1" x14ac:dyDescent="0.3">
      <c r="A233" s="33" t="s">
        <v>46</v>
      </c>
      <c r="B233" s="36" t="s">
        <v>2</v>
      </c>
      <c r="C233" s="5">
        <v>60000</v>
      </c>
      <c r="D233" s="2">
        <f t="shared" si="94"/>
        <v>1800000</v>
      </c>
      <c r="E233" s="15" t="s">
        <v>93</v>
      </c>
      <c r="F233" s="25" t="s">
        <v>278</v>
      </c>
      <c r="G233" s="40">
        <v>144</v>
      </c>
      <c r="H233" s="16">
        <v>1</v>
      </c>
      <c r="I233" s="16">
        <v>4</v>
      </c>
      <c r="J233" s="37">
        <v>44562</v>
      </c>
      <c r="K233" s="37">
        <v>44926</v>
      </c>
      <c r="L233" s="47">
        <f t="shared" si="85"/>
        <v>1</v>
      </c>
      <c r="M233" s="48"/>
      <c r="N233" s="14"/>
      <c r="O233" s="20">
        <f t="shared" si="87"/>
        <v>0</v>
      </c>
      <c r="P233" s="39">
        <v>0.2</v>
      </c>
      <c r="Q233" s="20">
        <f t="shared" ref="Q233:Q253" si="95">M233-M233*P233</f>
        <v>0</v>
      </c>
      <c r="R233" s="20">
        <f t="shared" ref="R233:R253" si="96">O233-O233*P233</f>
        <v>0</v>
      </c>
      <c r="S233" s="14">
        <f>H233*1008</f>
        <v>1008</v>
      </c>
      <c r="T233" s="14">
        <f>H233*1152</f>
        <v>1152</v>
      </c>
      <c r="U233" s="14">
        <f t="shared" si="86"/>
        <v>2160</v>
      </c>
    </row>
    <row r="234" spans="1:21" s="7" customFormat="1" x14ac:dyDescent="0.3">
      <c r="A234" s="33" t="s">
        <v>46</v>
      </c>
      <c r="B234" s="36" t="s">
        <v>2</v>
      </c>
      <c r="C234" s="5">
        <v>60000</v>
      </c>
      <c r="D234" s="2">
        <f t="shared" si="94"/>
        <v>1800000</v>
      </c>
      <c r="E234" s="15" t="s">
        <v>230</v>
      </c>
      <c r="F234" s="25" t="s">
        <v>281</v>
      </c>
      <c r="G234" s="40">
        <f>9*1.2</f>
        <v>10.799999999999999</v>
      </c>
      <c r="H234" s="16">
        <v>3</v>
      </c>
      <c r="I234" s="16">
        <v>3</v>
      </c>
      <c r="J234" s="37">
        <v>44562</v>
      </c>
      <c r="K234" s="37">
        <v>44926</v>
      </c>
      <c r="L234" s="47">
        <f t="shared" si="85"/>
        <v>1</v>
      </c>
      <c r="M234" s="48"/>
      <c r="N234" s="14"/>
      <c r="O234" s="20">
        <f>H234*L234*M234</f>
        <v>0</v>
      </c>
      <c r="P234" s="39">
        <v>0.2</v>
      </c>
      <c r="Q234" s="20">
        <f t="shared" si="95"/>
        <v>0</v>
      </c>
      <c r="R234" s="20">
        <f t="shared" si="96"/>
        <v>0</v>
      </c>
      <c r="S234" s="14">
        <f>H234*324</f>
        <v>972</v>
      </c>
      <c r="T234" s="14">
        <f>H234*240</f>
        <v>720</v>
      </c>
      <c r="U234" s="14">
        <f t="shared" si="86"/>
        <v>1692</v>
      </c>
    </row>
    <row r="235" spans="1:21" s="7" customFormat="1" x14ac:dyDescent="0.3">
      <c r="A235" s="33" t="s">
        <v>46</v>
      </c>
      <c r="B235" s="36" t="s">
        <v>2</v>
      </c>
      <c r="C235" s="5">
        <v>60000</v>
      </c>
      <c r="D235" s="2">
        <f t="shared" si="94"/>
        <v>1800000</v>
      </c>
      <c r="E235" s="15" t="s">
        <v>232</v>
      </c>
      <c r="F235" s="25" t="s">
        <v>280</v>
      </c>
      <c r="G235" s="40">
        <f>12*2.5</f>
        <v>30</v>
      </c>
      <c r="H235" s="16">
        <v>1</v>
      </c>
      <c r="I235" s="16">
        <v>1</v>
      </c>
      <c r="J235" s="37">
        <v>44562</v>
      </c>
      <c r="K235" s="37">
        <v>44926</v>
      </c>
      <c r="L235" s="47">
        <f t="shared" si="85"/>
        <v>1</v>
      </c>
      <c r="M235" s="48"/>
      <c r="N235" s="14"/>
      <c r="O235" s="20">
        <f t="shared" si="87"/>
        <v>0</v>
      </c>
      <c r="P235" s="39">
        <v>0.2</v>
      </c>
      <c r="Q235" s="20">
        <f t="shared" si="95"/>
        <v>0</v>
      </c>
      <c r="R235" s="20">
        <f t="shared" si="96"/>
        <v>0</v>
      </c>
      <c r="S235" s="14">
        <f>H235*900</f>
        <v>900</v>
      </c>
      <c r="T235" s="14">
        <f>H235*390</f>
        <v>390</v>
      </c>
      <c r="U235" s="14">
        <f t="shared" si="86"/>
        <v>1290</v>
      </c>
    </row>
    <row r="236" spans="1:21" s="7" customFormat="1" x14ac:dyDescent="0.3">
      <c r="A236" s="33" t="s">
        <v>46</v>
      </c>
      <c r="B236" s="36" t="s">
        <v>2</v>
      </c>
      <c r="C236" s="5">
        <v>60000</v>
      </c>
      <c r="D236" s="2">
        <f t="shared" si="94"/>
        <v>1800000</v>
      </c>
      <c r="E236" s="15" t="s">
        <v>21</v>
      </c>
      <c r="F236" s="47" t="s">
        <v>19</v>
      </c>
      <c r="G236" s="19" t="s">
        <v>94</v>
      </c>
      <c r="H236" s="19">
        <v>1</v>
      </c>
      <c r="I236" s="19">
        <f>H236*14</f>
        <v>14</v>
      </c>
      <c r="J236" s="37">
        <v>44562</v>
      </c>
      <c r="K236" s="37">
        <v>44926</v>
      </c>
      <c r="L236" s="47">
        <f t="shared" si="85"/>
        <v>1</v>
      </c>
      <c r="M236" s="48"/>
      <c r="N236" s="14"/>
      <c r="O236" s="20">
        <f t="shared" si="87"/>
        <v>0</v>
      </c>
      <c r="P236" s="39">
        <v>0.2</v>
      </c>
      <c r="Q236" s="20">
        <f t="shared" si="95"/>
        <v>0</v>
      </c>
      <c r="R236" s="20">
        <f t="shared" si="96"/>
        <v>0</v>
      </c>
      <c r="S236" s="14">
        <f>H236*50</f>
        <v>50</v>
      </c>
      <c r="T236" s="14">
        <f>H236*12.5</f>
        <v>12.5</v>
      </c>
      <c r="U236" s="14">
        <f t="shared" si="86"/>
        <v>62.5</v>
      </c>
    </row>
    <row r="237" spans="1:21" s="7" customFormat="1" x14ac:dyDescent="0.3">
      <c r="A237" s="33" t="s">
        <v>46</v>
      </c>
      <c r="B237" s="36" t="s">
        <v>2</v>
      </c>
      <c r="C237" s="5">
        <v>60000</v>
      </c>
      <c r="D237" s="2">
        <f t="shared" si="94"/>
        <v>1800000</v>
      </c>
      <c r="E237" s="15" t="s">
        <v>220</v>
      </c>
      <c r="F237" s="47" t="s">
        <v>292</v>
      </c>
      <c r="G237" s="19">
        <v>2</v>
      </c>
      <c r="H237" s="19">
        <v>1</v>
      </c>
      <c r="I237" s="19">
        <v>10</v>
      </c>
      <c r="J237" s="37">
        <v>44562</v>
      </c>
      <c r="K237" s="37">
        <v>44926</v>
      </c>
      <c r="L237" s="47">
        <f t="shared" si="85"/>
        <v>1</v>
      </c>
      <c r="M237" s="48"/>
      <c r="N237" s="14"/>
      <c r="O237" s="20">
        <f t="shared" si="87"/>
        <v>0</v>
      </c>
      <c r="P237" s="39">
        <v>0.2</v>
      </c>
      <c r="Q237" s="20">
        <f t="shared" si="95"/>
        <v>0</v>
      </c>
      <c r="R237" s="20">
        <f t="shared" si="96"/>
        <v>0</v>
      </c>
      <c r="S237" s="14">
        <f>I237*50</f>
        <v>500</v>
      </c>
      <c r="T237" s="14">
        <f>I237*10</f>
        <v>100</v>
      </c>
      <c r="U237" s="14">
        <f t="shared" si="86"/>
        <v>600</v>
      </c>
    </row>
    <row r="238" spans="1:21" s="7" customFormat="1" ht="13.8" customHeight="1" x14ac:dyDescent="0.3">
      <c r="A238" s="33" t="s">
        <v>46</v>
      </c>
      <c r="B238" s="36" t="s">
        <v>2</v>
      </c>
      <c r="C238" s="5">
        <v>60000</v>
      </c>
      <c r="D238" s="2">
        <f t="shared" si="94"/>
        <v>1800000</v>
      </c>
      <c r="E238" s="50" t="s">
        <v>36</v>
      </c>
      <c r="F238" s="19" t="s">
        <v>297</v>
      </c>
      <c r="G238" s="19">
        <v>12</v>
      </c>
      <c r="H238" s="19">
        <v>6</v>
      </c>
      <c r="I238" s="19">
        <f>H238*2</f>
        <v>12</v>
      </c>
      <c r="J238" s="37">
        <v>44562</v>
      </c>
      <c r="K238" s="37">
        <v>44926</v>
      </c>
      <c r="L238" s="47">
        <f t="shared" si="85"/>
        <v>1</v>
      </c>
      <c r="M238" s="48"/>
      <c r="N238" s="14"/>
      <c r="O238" s="20">
        <f t="shared" si="87"/>
        <v>0</v>
      </c>
      <c r="P238" s="39">
        <v>0.2</v>
      </c>
      <c r="Q238" s="20">
        <f t="shared" si="95"/>
        <v>0</v>
      </c>
      <c r="R238" s="20">
        <f t="shared" si="96"/>
        <v>0</v>
      </c>
      <c r="S238" s="14">
        <f>H238*180</f>
        <v>1080</v>
      </c>
      <c r="T238" s="14">
        <f>H238*150</f>
        <v>900</v>
      </c>
      <c r="U238" s="14">
        <f t="shared" si="86"/>
        <v>1980</v>
      </c>
    </row>
    <row r="239" spans="1:21" s="7" customFormat="1" x14ac:dyDescent="0.3">
      <c r="A239" s="33" t="s">
        <v>46</v>
      </c>
      <c r="B239" s="36" t="s">
        <v>2</v>
      </c>
      <c r="C239" s="5">
        <v>60000</v>
      </c>
      <c r="D239" s="2">
        <f t="shared" si="94"/>
        <v>1800000</v>
      </c>
      <c r="E239" s="15" t="s">
        <v>36</v>
      </c>
      <c r="F239" s="19" t="s">
        <v>298</v>
      </c>
      <c r="G239" s="19">
        <v>6</v>
      </c>
      <c r="H239" s="19">
        <v>6</v>
      </c>
      <c r="I239" s="19">
        <f>H239*2</f>
        <v>12</v>
      </c>
      <c r="J239" s="37">
        <v>44562</v>
      </c>
      <c r="K239" s="37">
        <v>44926</v>
      </c>
      <c r="L239" s="47">
        <f t="shared" si="85"/>
        <v>1</v>
      </c>
      <c r="M239" s="48"/>
      <c r="N239" s="14"/>
      <c r="O239" s="20">
        <f t="shared" si="87"/>
        <v>0</v>
      </c>
      <c r="P239" s="39">
        <v>0.2</v>
      </c>
      <c r="Q239" s="20">
        <f t="shared" si="95"/>
        <v>0</v>
      </c>
      <c r="R239" s="20">
        <f t="shared" si="96"/>
        <v>0</v>
      </c>
      <c r="S239" s="14">
        <f>H239*90</f>
        <v>540</v>
      </c>
      <c r="T239" s="14">
        <f>H239*150</f>
        <v>900</v>
      </c>
      <c r="U239" s="14">
        <f t="shared" si="86"/>
        <v>1440</v>
      </c>
    </row>
    <row r="240" spans="1:21" s="7" customFormat="1" x14ac:dyDescent="0.3">
      <c r="A240" s="33" t="s">
        <v>46</v>
      </c>
      <c r="B240" s="36" t="s">
        <v>2</v>
      </c>
      <c r="C240" s="5">
        <v>60000</v>
      </c>
      <c r="D240" s="2">
        <f t="shared" si="94"/>
        <v>1800000</v>
      </c>
      <c r="E240" s="50" t="s">
        <v>36</v>
      </c>
      <c r="F240" s="19" t="s">
        <v>282</v>
      </c>
      <c r="G240" s="19">
        <f>3*6</f>
        <v>18</v>
      </c>
      <c r="H240" s="19">
        <v>3</v>
      </c>
      <c r="I240" s="19">
        <f>H240*2</f>
        <v>6</v>
      </c>
      <c r="J240" s="37">
        <v>44562</v>
      </c>
      <c r="K240" s="37">
        <v>44926</v>
      </c>
      <c r="L240" s="47">
        <f t="shared" si="85"/>
        <v>1</v>
      </c>
      <c r="M240" s="48"/>
      <c r="N240" s="14"/>
      <c r="O240" s="20">
        <f t="shared" si="87"/>
        <v>0</v>
      </c>
      <c r="P240" s="39">
        <v>0.2</v>
      </c>
      <c r="Q240" s="20">
        <f t="shared" si="95"/>
        <v>0</v>
      </c>
      <c r="R240" s="20">
        <f t="shared" si="96"/>
        <v>0</v>
      </c>
      <c r="S240" s="14">
        <f>H240*300</f>
        <v>900</v>
      </c>
      <c r="T240" s="14">
        <f>H240*200</f>
        <v>600</v>
      </c>
      <c r="U240" s="14">
        <f t="shared" si="86"/>
        <v>1500</v>
      </c>
    </row>
    <row r="241" spans="1:21" s="7" customFormat="1" x14ac:dyDescent="0.3">
      <c r="A241" s="33" t="s">
        <v>46</v>
      </c>
      <c r="B241" s="36" t="s">
        <v>2</v>
      </c>
      <c r="C241" s="5">
        <v>60000</v>
      </c>
      <c r="D241" s="2">
        <f t="shared" si="94"/>
        <v>1800000</v>
      </c>
      <c r="E241" s="15" t="s">
        <v>229</v>
      </c>
      <c r="F241" s="35" t="s">
        <v>283</v>
      </c>
      <c r="G241" s="19">
        <f>1*3</f>
        <v>3</v>
      </c>
      <c r="H241" s="19">
        <v>6</v>
      </c>
      <c r="I241" s="19">
        <f>H241</f>
        <v>6</v>
      </c>
      <c r="J241" s="37">
        <v>44562</v>
      </c>
      <c r="K241" s="37">
        <v>44926</v>
      </c>
      <c r="L241" s="47">
        <f t="shared" si="85"/>
        <v>1</v>
      </c>
      <c r="M241" s="48"/>
      <c r="N241" s="14"/>
      <c r="O241" s="20">
        <f t="shared" si="87"/>
        <v>0</v>
      </c>
      <c r="P241" s="39">
        <v>0.2</v>
      </c>
      <c r="Q241" s="20">
        <f t="shared" si="95"/>
        <v>0</v>
      </c>
      <c r="R241" s="20">
        <f t="shared" si="96"/>
        <v>0</v>
      </c>
      <c r="S241" s="14">
        <f>H241*45</f>
        <v>270</v>
      </c>
      <c r="T241" s="14">
        <f>H241*25</f>
        <v>150</v>
      </c>
      <c r="U241" s="14">
        <f t="shared" si="86"/>
        <v>420</v>
      </c>
    </row>
    <row r="242" spans="1:21" s="7" customFormat="1" x14ac:dyDescent="0.3">
      <c r="A242" s="33" t="s">
        <v>46</v>
      </c>
      <c r="B242" s="36" t="s">
        <v>2</v>
      </c>
      <c r="C242" s="5">
        <v>60000</v>
      </c>
      <c r="D242" s="2">
        <f t="shared" si="94"/>
        <v>1800000</v>
      </c>
      <c r="E242" s="15" t="s">
        <v>224</v>
      </c>
      <c r="F242" s="35" t="s">
        <v>225</v>
      </c>
      <c r="G242" s="19">
        <v>80</v>
      </c>
      <c r="H242" s="19">
        <v>2</v>
      </c>
      <c r="I242" s="19">
        <v>4</v>
      </c>
      <c r="J242" s="37">
        <v>44562</v>
      </c>
      <c r="K242" s="37">
        <v>44926</v>
      </c>
      <c r="L242" s="47">
        <f t="shared" si="85"/>
        <v>1</v>
      </c>
      <c r="M242" s="48"/>
      <c r="N242" s="14"/>
      <c r="O242" s="20">
        <f t="shared" si="87"/>
        <v>0</v>
      </c>
      <c r="P242" s="39">
        <v>0.2</v>
      </c>
      <c r="Q242" s="20">
        <f t="shared" si="95"/>
        <v>0</v>
      </c>
      <c r="R242" s="20">
        <f t="shared" si="96"/>
        <v>0</v>
      </c>
      <c r="S242" s="14">
        <f>G242*13.5</f>
        <v>1080</v>
      </c>
      <c r="T242" s="14">
        <f>G242*8</f>
        <v>640</v>
      </c>
      <c r="U242" s="14">
        <f t="shared" si="86"/>
        <v>1720</v>
      </c>
    </row>
    <row r="243" spans="1:21" s="7" customFormat="1" x14ac:dyDescent="0.3">
      <c r="A243" s="33" t="s">
        <v>46</v>
      </c>
      <c r="B243" s="36" t="s">
        <v>2</v>
      </c>
      <c r="C243" s="5">
        <v>60000</v>
      </c>
      <c r="D243" s="2">
        <f t="shared" si="94"/>
        <v>1800000</v>
      </c>
      <c r="E243" s="15" t="s">
        <v>226</v>
      </c>
      <c r="F243" s="35" t="s">
        <v>95</v>
      </c>
      <c r="G243" s="19">
        <v>60</v>
      </c>
      <c r="H243" s="19">
        <v>1</v>
      </c>
      <c r="I243" s="19">
        <v>2</v>
      </c>
      <c r="J243" s="37">
        <v>44562</v>
      </c>
      <c r="K243" s="37">
        <v>44926</v>
      </c>
      <c r="L243" s="47">
        <f t="shared" si="85"/>
        <v>1</v>
      </c>
      <c r="M243" s="48"/>
      <c r="N243" s="14"/>
      <c r="O243" s="20">
        <f t="shared" si="87"/>
        <v>0</v>
      </c>
      <c r="P243" s="39">
        <v>0.2</v>
      </c>
      <c r="Q243" s="20">
        <f t="shared" si="95"/>
        <v>0</v>
      </c>
      <c r="R243" s="20">
        <f t="shared" si="96"/>
        <v>0</v>
      </c>
      <c r="S243" s="14">
        <f>G243*13.5</f>
        <v>810</v>
      </c>
      <c r="T243" s="14">
        <f>G243*8</f>
        <v>480</v>
      </c>
      <c r="U243" s="14">
        <f t="shared" si="86"/>
        <v>1290</v>
      </c>
    </row>
    <row r="244" spans="1:21" s="7" customFormat="1" x14ac:dyDescent="0.3">
      <c r="A244" s="33" t="s">
        <v>46</v>
      </c>
      <c r="B244" s="36" t="s">
        <v>2</v>
      </c>
      <c r="C244" s="5">
        <v>60000</v>
      </c>
      <c r="D244" s="2">
        <f t="shared" si="94"/>
        <v>1800000</v>
      </c>
      <c r="E244" s="15" t="s">
        <v>22</v>
      </c>
      <c r="F244" s="35" t="s">
        <v>91</v>
      </c>
      <c r="G244" s="16" t="s">
        <v>15</v>
      </c>
      <c r="H244" s="16">
        <v>6</v>
      </c>
      <c r="I244" s="16">
        <f>H244*2</f>
        <v>12</v>
      </c>
      <c r="J244" s="37">
        <v>44562</v>
      </c>
      <c r="K244" s="37">
        <v>44926</v>
      </c>
      <c r="L244" s="47">
        <f t="shared" si="85"/>
        <v>1</v>
      </c>
      <c r="M244" s="48"/>
      <c r="N244" s="14"/>
      <c r="O244" s="20">
        <f t="shared" si="87"/>
        <v>0</v>
      </c>
      <c r="P244" s="39">
        <v>0.2</v>
      </c>
      <c r="Q244" s="20">
        <f t="shared" si="95"/>
        <v>0</v>
      </c>
      <c r="R244" s="20">
        <f t="shared" ref="R244:R249" si="97">O244-O244*P244</f>
        <v>0</v>
      </c>
      <c r="S244" s="14">
        <f>H244*60</f>
        <v>360</v>
      </c>
      <c r="T244" s="14">
        <f>H244*50</f>
        <v>300</v>
      </c>
      <c r="U244" s="14">
        <f t="shared" si="86"/>
        <v>660</v>
      </c>
    </row>
    <row r="245" spans="1:21" s="7" customFormat="1" x14ac:dyDescent="0.3">
      <c r="A245" s="33" t="s">
        <v>46</v>
      </c>
      <c r="B245" s="36" t="s">
        <v>2</v>
      </c>
      <c r="C245" s="5">
        <v>60000</v>
      </c>
      <c r="D245" s="2">
        <f t="shared" ref="D245" si="98">C245*30</f>
        <v>1800000</v>
      </c>
      <c r="E245" s="15" t="s">
        <v>12</v>
      </c>
      <c r="F245" s="35" t="s">
        <v>295</v>
      </c>
      <c r="G245" s="16">
        <v>8</v>
      </c>
      <c r="H245" s="16">
        <v>2</v>
      </c>
      <c r="I245" s="16">
        <f>H245*4</f>
        <v>8</v>
      </c>
      <c r="J245" s="37">
        <v>44562</v>
      </c>
      <c r="K245" s="37">
        <v>44926</v>
      </c>
      <c r="L245" s="47">
        <f t="shared" si="85"/>
        <v>1</v>
      </c>
      <c r="M245" s="48"/>
      <c r="N245" s="14"/>
      <c r="O245" s="20">
        <f t="shared" ref="O245" si="99">H245*L245*M245</f>
        <v>0</v>
      </c>
      <c r="P245" s="39">
        <v>0.2</v>
      </c>
      <c r="Q245" s="20">
        <f t="shared" ref="Q245" si="100">M245-M245*P245</f>
        <v>0</v>
      </c>
      <c r="R245" s="20">
        <f t="shared" ref="R245" si="101">O245-O245*P245</f>
        <v>0</v>
      </c>
      <c r="S245" s="14">
        <f>H245*125</f>
        <v>250</v>
      </c>
      <c r="T245" s="14">
        <f>H245*150</f>
        <v>300</v>
      </c>
      <c r="U245" s="14">
        <f t="shared" si="86"/>
        <v>550</v>
      </c>
    </row>
    <row r="246" spans="1:21" s="7" customFormat="1" x14ac:dyDescent="0.3">
      <c r="A246" s="33" t="s">
        <v>46</v>
      </c>
      <c r="B246" s="36" t="s">
        <v>2</v>
      </c>
      <c r="C246" s="5">
        <v>60000</v>
      </c>
      <c r="D246" s="2">
        <f t="shared" si="94"/>
        <v>1800000</v>
      </c>
      <c r="E246" s="46" t="s">
        <v>227</v>
      </c>
      <c r="F246" s="45" t="s">
        <v>228</v>
      </c>
      <c r="G246" s="16">
        <v>75</v>
      </c>
      <c r="H246" s="16">
        <v>1</v>
      </c>
      <c r="I246" s="16">
        <v>5</v>
      </c>
      <c r="J246" s="37">
        <v>44562</v>
      </c>
      <c r="K246" s="37">
        <v>44926</v>
      </c>
      <c r="L246" s="47">
        <f t="shared" si="85"/>
        <v>1</v>
      </c>
      <c r="M246" s="48"/>
      <c r="N246" s="14"/>
      <c r="O246" s="20">
        <f t="shared" si="87"/>
        <v>0</v>
      </c>
      <c r="P246" s="39">
        <v>0.2</v>
      </c>
      <c r="Q246" s="20">
        <f t="shared" si="95"/>
        <v>0</v>
      </c>
      <c r="R246" s="20">
        <f t="shared" si="97"/>
        <v>0</v>
      </c>
      <c r="S246" s="14">
        <f>G246*13.5</f>
        <v>1012.5</v>
      </c>
      <c r="T246" s="14">
        <f>G246*8</f>
        <v>600</v>
      </c>
      <c r="U246" s="14">
        <f t="shared" si="86"/>
        <v>1612.5</v>
      </c>
    </row>
    <row r="247" spans="1:21" s="7" customFormat="1" x14ac:dyDescent="0.3">
      <c r="A247" s="33" t="s">
        <v>46</v>
      </c>
      <c r="B247" s="36" t="s">
        <v>2</v>
      </c>
      <c r="C247" s="5">
        <v>60000</v>
      </c>
      <c r="D247" s="2">
        <f t="shared" si="94"/>
        <v>1800000</v>
      </c>
      <c r="E247" s="46" t="s">
        <v>221</v>
      </c>
      <c r="F247" s="45" t="s">
        <v>19</v>
      </c>
      <c r="G247" s="16">
        <v>1</v>
      </c>
      <c r="H247" s="16">
        <v>25</v>
      </c>
      <c r="I247" s="16">
        <v>25</v>
      </c>
      <c r="J247" s="37">
        <v>44562</v>
      </c>
      <c r="K247" s="37">
        <v>44926</v>
      </c>
      <c r="L247" s="47">
        <f t="shared" si="85"/>
        <v>1</v>
      </c>
      <c r="M247" s="48"/>
      <c r="N247" s="14"/>
      <c r="O247" s="20">
        <f t="shared" si="87"/>
        <v>0</v>
      </c>
      <c r="P247" s="39">
        <v>0.2</v>
      </c>
      <c r="Q247" s="20">
        <f t="shared" si="95"/>
        <v>0</v>
      </c>
      <c r="R247" s="20">
        <f t="shared" si="97"/>
        <v>0</v>
      </c>
      <c r="S247" s="14">
        <f>H247*12</f>
        <v>300</v>
      </c>
      <c r="T247" s="14">
        <f>H247*10</f>
        <v>250</v>
      </c>
      <c r="U247" s="14">
        <f t="shared" si="86"/>
        <v>550</v>
      </c>
    </row>
    <row r="248" spans="1:21" s="7" customFormat="1" x14ac:dyDescent="0.3">
      <c r="A248" s="33" t="s">
        <v>46</v>
      </c>
      <c r="B248" s="36" t="s">
        <v>2</v>
      </c>
      <c r="C248" s="5">
        <v>60000</v>
      </c>
      <c r="D248" s="2">
        <f t="shared" si="94"/>
        <v>1800000</v>
      </c>
      <c r="E248" s="46" t="s">
        <v>73</v>
      </c>
      <c r="F248" s="45" t="s">
        <v>284</v>
      </c>
      <c r="G248" s="16">
        <f>8*1.2</f>
        <v>9.6</v>
      </c>
      <c r="H248" s="16">
        <v>1</v>
      </c>
      <c r="I248" s="16">
        <v>1</v>
      </c>
      <c r="J248" s="37">
        <v>44562</v>
      </c>
      <c r="K248" s="37">
        <v>44926</v>
      </c>
      <c r="L248" s="47">
        <f t="shared" si="85"/>
        <v>1</v>
      </c>
      <c r="M248" s="48"/>
      <c r="N248" s="14"/>
      <c r="O248" s="20">
        <f t="shared" si="87"/>
        <v>0</v>
      </c>
      <c r="P248" s="39">
        <v>0.2</v>
      </c>
      <c r="Q248" s="20">
        <f t="shared" si="95"/>
        <v>0</v>
      </c>
      <c r="R248" s="20">
        <f t="shared" si="97"/>
        <v>0</v>
      </c>
      <c r="S248" s="14">
        <f>G248*8</f>
        <v>76.8</v>
      </c>
      <c r="T248" s="14">
        <f t="shared" ref="T248:T253" si="102">G248*8</f>
        <v>76.8</v>
      </c>
      <c r="U248" s="14">
        <f t="shared" si="86"/>
        <v>153.6</v>
      </c>
    </row>
    <row r="249" spans="1:21" s="7" customFormat="1" x14ac:dyDescent="0.3">
      <c r="A249" s="33" t="s">
        <v>46</v>
      </c>
      <c r="B249" s="36" t="s">
        <v>2</v>
      </c>
      <c r="C249" s="5">
        <v>60000</v>
      </c>
      <c r="D249" s="2">
        <f t="shared" si="94"/>
        <v>1800000</v>
      </c>
      <c r="E249" s="46" t="s">
        <v>234</v>
      </c>
      <c r="F249" s="45" t="s">
        <v>235</v>
      </c>
      <c r="G249" s="16">
        <v>15</v>
      </c>
      <c r="H249" s="16">
        <v>1</v>
      </c>
      <c r="I249" s="16">
        <v>8</v>
      </c>
      <c r="J249" s="37">
        <v>44562</v>
      </c>
      <c r="K249" s="37">
        <v>44926</v>
      </c>
      <c r="L249" s="47">
        <f t="shared" si="85"/>
        <v>1</v>
      </c>
      <c r="M249" s="48"/>
      <c r="N249" s="14"/>
      <c r="O249" s="20">
        <f t="shared" si="87"/>
        <v>0</v>
      </c>
      <c r="P249" s="39">
        <v>0.2</v>
      </c>
      <c r="Q249" s="20">
        <f t="shared" si="95"/>
        <v>0</v>
      </c>
      <c r="R249" s="20">
        <f t="shared" si="97"/>
        <v>0</v>
      </c>
      <c r="S249" s="14">
        <f>G249*13.5</f>
        <v>202.5</v>
      </c>
      <c r="T249" s="14">
        <f t="shared" si="102"/>
        <v>120</v>
      </c>
      <c r="U249" s="14">
        <f t="shared" si="86"/>
        <v>322.5</v>
      </c>
    </row>
    <row r="250" spans="1:21" s="7" customFormat="1" x14ac:dyDescent="0.3">
      <c r="A250" s="33" t="s">
        <v>46</v>
      </c>
      <c r="B250" s="36" t="s">
        <v>2</v>
      </c>
      <c r="C250" s="5">
        <v>60000</v>
      </c>
      <c r="D250" s="2">
        <f t="shared" ref="D250:D251" si="103">C250*30</f>
        <v>1800000</v>
      </c>
      <c r="E250" s="46" t="s">
        <v>234</v>
      </c>
      <c r="F250" s="45" t="s">
        <v>285</v>
      </c>
      <c r="G250" s="16">
        <v>15</v>
      </c>
      <c r="H250" s="16">
        <v>1</v>
      </c>
      <c r="I250" s="16">
        <v>8</v>
      </c>
      <c r="J250" s="37">
        <v>44562</v>
      </c>
      <c r="K250" s="37">
        <v>44926</v>
      </c>
      <c r="L250" s="47">
        <f t="shared" si="85"/>
        <v>1</v>
      </c>
      <c r="M250" s="48"/>
      <c r="N250" s="14"/>
      <c r="O250" s="20">
        <f t="shared" ref="O250:O251" si="104">H250*L250*M250</f>
        <v>0</v>
      </c>
      <c r="P250" s="39">
        <v>0.2</v>
      </c>
      <c r="Q250" s="20">
        <f t="shared" ref="Q250:Q251" si="105">M250-M250*P250</f>
        <v>0</v>
      </c>
      <c r="R250" s="20">
        <f t="shared" ref="R250:R251" si="106">O250-O250*P250</f>
        <v>0</v>
      </c>
      <c r="S250" s="14">
        <f>G250*13.5</f>
        <v>202.5</v>
      </c>
      <c r="T250" s="14">
        <f t="shared" si="102"/>
        <v>120</v>
      </c>
      <c r="U250" s="14">
        <f t="shared" si="86"/>
        <v>322.5</v>
      </c>
    </row>
    <row r="251" spans="1:21" s="7" customFormat="1" x14ac:dyDescent="0.3">
      <c r="A251" s="33" t="s">
        <v>46</v>
      </c>
      <c r="B251" s="36" t="s">
        <v>2</v>
      </c>
      <c r="C251" s="5">
        <v>60000</v>
      </c>
      <c r="D251" s="2">
        <f t="shared" si="103"/>
        <v>1800000</v>
      </c>
      <c r="E251" s="38" t="s">
        <v>234</v>
      </c>
      <c r="F251" s="45" t="s">
        <v>293</v>
      </c>
      <c r="G251" s="16">
        <v>15</v>
      </c>
      <c r="H251" s="16">
        <v>1</v>
      </c>
      <c r="I251" s="16">
        <v>8</v>
      </c>
      <c r="J251" s="37">
        <v>44562</v>
      </c>
      <c r="K251" s="37">
        <v>44926</v>
      </c>
      <c r="L251" s="47">
        <f t="shared" si="85"/>
        <v>1</v>
      </c>
      <c r="M251" s="48"/>
      <c r="N251" s="14"/>
      <c r="O251" s="20">
        <f t="shared" si="104"/>
        <v>0</v>
      </c>
      <c r="P251" s="39">
        <v>0.2</v>
      </c>
      <c r="Q251" s="20">
        <f t="shared" si="105"/>
        <v>0</v>
      </c>
      <c r="R251" s="20">
        <f t="shared" si="106"/>
        <v>0</v>
      </c>
      <c r="S251" s="14">
        <f>G251*13.5</f>
        <v>202.5</v>
      </c>
      <c r="T251" s="14">
        <f t="shared" si="102"/>
        <v>120</v>
      </c>
      <c r="U251" s="14">
        <f t="shared" si="86"/>
        <v>322.5</v>
      </c>
    </row>
    <row r="252" spans="1:21" s="7" customFormat="1" x14ac:dyDescent="0.3">
      <c r="A252" s="33" t="s">
        <v>46</v>
      </c>
      <c r="B252" s="36" t="s">
        <v>2</v>
      </c>
      <c r="C252" s="5">
        <v>60000</v>
      </c>
      <c r="D252" s="2">
        <f t="shared" ref="D252" si="107">C252*30</f>
        <v>1800000</v>
      </c>
      <c r="E252" s="38" t="s">
        <v>234</v>
      </c>
      <c r="F252" s="45" t="s">
        <v>294</v>
      </c>
      <c r="G252" s="16">
        <v>15</v>
      </c>
      <c r="H252" s="16">
        <v>1</v>
      </c>
      <c r="I252" s="16">
        <v>8</v>
      </c>
      <c r="J252" s="37">
        <v>44562</v>
      </c>
      <c r="K252" s="37">
        <v>44926</v>
      </c>
      <c r="L252" s="47">
        <f t="shared" si="85"/>
        <v>1</v>
      </c>
      <c r="M252" s="48"/>
      <c r="N252" s="14"/>
      <c r="O252" s="20">
        <f t="shared" ref="O252" si="108">H252*L252*M252</f>
        <v>0</v>
      </c>
      <c r="P252" s="39">
        <v>0.2</v>
      </c>
      <c r="Q252" s="20">
        <f t="shared" ref="Q252" si="109">M252-M252*P252</f>
        <v>0</v>
      </c>
      <c r="R252" s="20">
        <f t="shared" ref="R252" si="110">O252-O252*P252</f>
        <v>0</v>
      </c>
      <c r="S252" s="14">
        <f>G252*13.5</f>
        <v>202.5</v>
      </c>
      <c r="T252" s="14">
        <f t="shared" si="102"/>
        <v>120</v>
      </c>
      <c r="U252" s="14">
        <f t="shared" si="86"/>
        <v>322.5</v>
      </c>
    </row>
    <row r="253" spans="1:21" s="7" customFormat="1" x14ac:dyDescent="0.3">
      <c r="A253" s="33" t="s">
        <v>46</v>
      </c>
      <c r="B253" s="36" t="s">
        <v>2</v>
      </c>
      <c r="C253" s="5">
        <v>60000</v>
      </c>
      <c r="D253" s="2">
        <f t="shared" si="94"/>
        <v>1800000</v>
      </c>
      <c r="E253" s="15" t="s">
        <v>202</v>
      </c>
      <c r="F253" s="45" t="s">
        <v>203</v>
      </c>
      <c r="G253" s="16">
        <v>60</v>
      </c>
      <c r="H253" s="16">
        <v>1</v>
      </c>
      <c r="I253" s="16">
        <v>6</v>
      </c>
      <c r="J253" s="37">
        <v>44562</v>
      </c>
      <c r="K253" s="37">
        <v>44926</v>
      </c>
      <c r="L253" s="47">
        <f t="shared" si="85"/>
        <v>1</v>
      </c>
      <c r="M253" s="48"/>
      <c r="N253" s="14"/>
      <c r="O253" s="20">
        <f t="shared" si="87"/>
        <v>0</v>
      </c>
      <c r="P253" s="39">
        <v>0.2</v>
      </c>
      <c r="Q253" s="20">
        <f t="shared" si="95"/>
        <v>0</v>
      </c>
      <c r="R253" s="20">
        <f t="shared" si="96"/>
        <v>0</v>
      </c>
      <c r="S253" s="14">
        <f>G253*13.5</f>
        <v>810</v>
      </c>
      <c r="T253" s="14">
        <f t="shared" si="102"/>
        <v>480</v>
      </c>
      <c r="U253" s="14">
        <f t="shared" si="86"/>
        <v>1290</v>
      </c>
    </row>
    <row r="254" spans="1:21" ht="18" x14ac:dyDescent="0.35">
      <c r="F254" s="26"/>
      <c r="G254" s="26"/>
      <c r="N254" s="26"/>
      <c r="O254" s="7"/>
      <c r="P254" s="7"/>
      <c r="Q254" s="7"/>
      <c r="R254" s="49">
        <f>SUM(R8:R253)</f>
        <v>0</v>
      </c>
      <c r="S254" s="49">
        <f>SUM(S8:S253)</f>
        <v>136356.44999999998</v>
      </c>
      <c r="T254" s="49">
        <f>SUM(T8:T253)</f>
        <v>101004.00000000001</v>
      </c>
      <c r="U254" s="49">
        <f>SUM(U8:U253)</f>
        <v>237360.44999999998</v>
      </c>
    </row>
    <row r="255" spans="1:21" ht="15" thickBot="1" x14ac:dyDescent="0.35">
      <c r="F255" s="26"/>
      <c r="G255" s="26"/>
      <c r="N255" s="26"/>
      <c r="O255" s="7"/>
      <c r="P255" s="7"/>
      <c r="Q255" s="7"/>
      <c r="R255" s="27"/>
      <c r="S255" s="26"/>
    </row>
    <row r="256" spans="1:21" ht="15" thickBot="1" x14ac:dyDescent="0.35">
      <c r="A256" s="102" t="s">
        <v>60</v>
      </c>
      <c r="B256" s="103"/>
      <c r="C256" s="104"/>
      <c r="F256" s="26"/>
      <c r="G256" s="26"/>
      <c r="J256" s="1"/>
      <c r="K256" s="1"/>
      <c r="L256" s="1"/>
      <c r="N256" s="26"/>
      <c r="O256" s="7"/>
      <c r="P256" s="7"/>
      <c r="Q256" s="7"/>
      <c r="R256" s="27"/>
    </row>
    <row r="257" spans="1:18" ht="15" thickBot="1" x14ac:dyDescent="0.35">
      <c r="A257" s="92" t="s">
        <v>61</v>
      </c>
      <c r="B257" s="93"/>
      <c r="C257" s="21">
        <f>D4</f>
        <v>1</v>
      </c>
      <c r="J257" s="1"/>
      <c r="K257" s="1"/>
      <c r="L257" s="1"/>
      <c r="O257" s="4"/>
      <c r="P257" s="4"/>
      <c r="Q257" s="4"/>
      <c r="R257" s="28"/>
    </row>
    <row r="258" spans="1:18" ht="15" thickBot="1" x14ac:dyDescent="0.35">
      <c r="A258" s="94" t="s">
        <v>62</v>
      </c>
      <c r="B258" s="95"/>
      <c r="C258" s="22">
        <f>R254</f>
        <v>0</v>
      </c>
      <c r="J258" s="1"/>
      <c r="K258" s="1"/>
      <c r="L258" s="1"/>
      <c r="O258" s="4"/>
      <c r="P258" s="4"/>
      <c r="Q258" s="4"/>
      <c r="R258" s="28"/>
    </row>
    <row r="259" spans="1:18" ht="15" thickBot="1" x14ac:dyDescent="0.35">
      <c r="A259" s="79" t="s">
        <v>63</v>
      </c>
      <c r="B259" s="80"/>
      <c r="C259" s="23">
        <f>S254+T254</f>
        <v>237360.45</v>
      </c>
      <c r="J259" s="1"/>
      <c r="K259" s="1"/>
      <c r="L259" s="1"/>
      <c r="O259" s="4"/>
      <c r="P259" s="4"/>
      <c r="Q259" s="4"/>
      <c r="R259" s="28"/>
    </row>
    <row r="260" spans="1:18" ht="18.600000000000001" thickBot="1" x14ac:dyDescent="0.4">
      <c r="A260" s="81" t="s">
        <v>64</v>
      </c>
      <c r="B260" s="82"/>
      <c r="C260" s="24">
        <f>C258+C259</f>
        <v>237360.45</v>
      </c>
      <c r="J260" s="1"/>
      <c r="K260" s="1"/>
      <c r="L260" s="1"/>
      <c r="O260" s="4"/>
      <c r="P260" s="4"/>
      <c r="Q260" s="4"/>
      <c r="R260" s="28"/>
    </row>
    <row r="261" spans="1:18" x14ac:dyDescent="0.3">
      <c r="J261" s="1"/>
      <c r="K261" s="1"/>
      <c r="L261" s="1"/>
      <c r="O261" s="4"/>
      <c r="P261" s="4"/>
      <c r="Q261" s="4"/>
      <c r="R261" s="28"/>
    </row>
    <row r="262" spans="1:18" x14ac:dyDescent="0.3">
      <c r="J262" s="1"/>
      <c r="K262" s="1"/>
      <c r="L262" s="1"/>
      <c r="O262" s="4"/>
      <c r="P262" s="4"/>
      <c r="Q262" s="4"/>
      <c r="R262" s="28"/>
    </row>
    <row r="263" spans="1:18" x14ac:dyDescent="0.3">
      <c r="J263" s="1"/>
      <c r="K263" s="1"/>
      <c r="L263" s="1"/>
      <c r="O263" s="4"/>
      <c r="P263" s="4"/>
      <c r="Q263" s="4"/>
      <c r="R263" s="28"/>
    </row>
    <row r="264" spans="1:18" x14ac:dyDescent="0.3">
      <c r="J264" s="1"/>
      <c r="K264" s="1"/>
      <c r="L264" s="1"/>
      <c r="O264" s="4"/>
      <c r="P264" s="4"/>
      <c r="Q264" s="4"/>
      <c r="R264" s="28"/>
    </row>
    <row r="265" spans="1:18" x14ac:dyDescent="0.3">
      <c r="J265" s="1"/>
      <c r="K265" s="1"/>
      <c r="L265" s="1"/>
      <c r="O265" s="4"/>
      <c r="P265" s="4"/>
      <c r="Q265" s="4"/>
      <c r="R265" s="28"/>
    </row>
    <row r="266" spans="1:18" x14ac:dyDescent="0.3">
      <c r="J266" s="1"/>
      <c r="K266" s="1"/>
      <c r="L266" s="1"/>
      <c r="O266" s="4"/>
      <c r="P266" s="4"/>
      <c r="Q266" s="4"/>
      <c r="R266" s="28"/>
    </row>
    <row r="267" spans="1:18" x14ac:dyDescent="0.3">
      <c r="J267" s="1"/>
      <c r="K267" s="1"/>
      <c r="L267" s="1"/>
      <c r="O267" s="4"/>
      <c r="P267" s="4"/>
      <c r="Q267" s="4"/>
      <c r="R267" s="28"/>
    </row>
    <row r="268" spans="1:18" x14ac:dyDescent="0.3">
      <c r="O268" s="4"/>
      <c r="P268" s="4"/>
      <c r="Q268" s="4"/>
      <c r="R268" s="28"/>
    </row>
    <row r="269" spans="1:18" x14ac:dyDescent="0.3">
      <c r="O269" s="4"/>
      <c r="P269" s="4"/>
      <c r="Q269" s="4"/>
      <c r="R269" s="28"/>
    </row>
    <row r="270" spans="1:18" x14ac:dyDescent="0.3">
      <c r="O270" s="4"/>
      <c r="P270" s="4"/>
      <c r="Q270" s="4"/>
      <c r="R270" s="28"/>
    </row>
    <row r="271" spans="1:18" x14ac:dyDescent="0.3">
      <c r="O271" s="4"/>
      <c r="P271" s="4"/>
      <c r="Q271" s="4"/>
      <c r="R271" s="28"/>
    </row>
    <row r="272" spans="1:18" x14ac:dyDescent="0.3">
      <c r="O272" s="4"/>
      <c r="P272" s="4"/>
      <c r="Q272" s="4"/>
      <c r="R272" s="28"/>
    </row>
    <row r="273" spans="15:18" x14ac:dyDescent="0.3">
      <c r="O273" s="4"/>
      <c r="P273" s="4"/>
      <c r="Q273" s="4"/>
      <c r="R273" s="28"/>
    </row>
    <row r="274" spans="15:18" x14ac:dyDescent="0.3">
      <c r="O274" s="4"/>
      <c r="P274" s="4"/>
      <c r="Q274" s="4"/>
      <c r="R274" s="28"/>
    </row>
    <row r="275" spans="15:18" x14ac:dyDescent="0.3">
      <c r="O275" s="4"/>
      <c r="P275" s="4"/>
      <c r="Q275" s="4"/>
      <c r="R275" s="28"/>
    </row>
    <row r="276" spans="15:18" x14ac:dyDescent="0.3">
      <c r="O276" s="4"/>
      <c r="P276" s="4"/>
      <c r="Q276" s="4"/>
      <c r="R276" s="28"/>
    </row>
    <row r="277" spans="15:18" x14ac:dyDescent="0.3">
      <c r="O277" s="4"/>
      <c r="P277" s="4"/>
      <c r="Q277" s="4"/>
      <c r="R277" s="28"/>
    </row>
    <row r="278" spans="15:18" x14ac:dyDescent="0.3">
      <c r="O278" s="4"/>
      <c r="P278" s="4"/>
      <c r="Q278" s="4"/>
      <c r="R278" s="28"/>
    </row>
    <row r="279" spans="15:18" x14ac:dyDescent="0.3">
      <c r="O279" s="4"/>
      <c r="P279" s="4"/>
      <c r="Q279" s="4"/>
      <c r="R279" s="28"/>
    </row>
    <row r="280" spans="15:18" x14ac:dyDescent="0.3">
      <c r="O280" s="4"/>
      <c r="P280" s="4"/>
      <c r="Q280" s="4"/>
      <c r="R280" s="28"/>
    </row>
    <row r="281" spans="15:18" x14ac:dyDescent="0.3">
      <c r="O281" s="4"/>
      <c r="P281" s="4"/>
      <c r="Q281" s="4"/>
      <c r="R281" s="28"/>
    </row>
    <row r="282" spans="15:18" x14ac:dyDescent="0.3">
      <c r="O282" s="4"/>
      <c r="P282" s="4"/>
      <c r="Q282" s="4"/>
      <c r="R282" s="28"/>
    </row>
    <row r="283" spans="15:18" x14ac:dyDescent="0.3">
      <c r="O283" s="4"/>
      <c r="P283" s="4"/>
      <c r="Q283" s="4"/>
      <c r="R283" s="28"/>
    </row>
    <row r="284" spans="15:18" x14ac:dyDescent="0.3">
      <c r="O284" s="4"/>
      <c r="P284" s="4"/>
      <c r="Q284" s="4"/>
      <c r="R284" s="28"/>
    </row>
    <row r="285" spans="15:18" x14ac:dyDescent="0.3">
      <c r="O285" s="4"/>
      <c r="P285" s="4"/>
      <c r="Q285" s="4"/>
      <c r="R285" s="28"/>
    </row>
    <row r="286" spans="15:18" x14ac:dyDescent="0.3">
      <c r="O286" s="4"/>
      <c r="P286" s="4"/>
      <c r="Q286" s="4"/>
      <c r="R286" s="28"/>
    </row>
    <row r="287" spans="15:18" x14ac:dyDescent="0.3">
      <c r="O287" s="4"/>
      <c r="P287" s="4"/>
      <c r="Q287" s="4"/>
      <c r="R287" s="28"/>
    </row>
    <row r="288" spans="15:18" x14ac:dyDescent="0.3">
      <c r="O288" s="4"/>
      <c r="P288" s="4"/>
      <c r="Q288" s="4"/>
      <c r="R288" s="28"/>
    </row>
    <row r="289" spans="15:18" x14ac:dyDescent="0.3">
      <c r="O289" s="4"/>
      <c r="P289" s="4"/>
      <c r="Q289" s="4"/>
      <c r="R289" s="28"/>
    </row>
    <row r="290" spans="15:18" x14ac:dyDescent="0.3">
      <c r="O290" s="4"/>
      <c r="P290" s="4"/>
      <c r="Q290" s="4"/>
      <c r="R290" s="28"/>
    </row>
    <row r="291" spans="15:18" x14ac:dyDescent="0.3">
      <c r="O291" s="4"/>
      <c r="P291" s="4"/>
      <c r="Q291" s="4"/>
      <c r="R291" s="28"/>
    </row>
    <row r="292" spans="15:18" x14ac:dyDescent="0.3">
      <c r="O292" s="4"/>
      <c r="P292" s="4"/>
      <c r="Q292" s="4"/>
      <c r="R292" s="28"/>
    </row>
    <row r="293" spans="15:18" x14ac:dyDescent="0.3">
      <c r="O293" s="4"/>
      <c r="P293" s="4"/>
      <c r="Q293" s="4"/>
      <c r="R293" s="28"/>
    </row>
    <row r="294" spans="15:18" x14ac:dyDescent="0.3">
      <c r="O294" s="4"/>
      <c r="P294" s="4"/>
      <c r="Q294" s="4"/>
      <c r="R294" s="28"/>
    </row>
    <row r="295" spans="15:18" x14ac:dyDescent="0.3">
      <c r="O295" s="4"/>
      <c r="P295" s="4"/>
      <c r="Q295" s="4"/>
      <c r="R295" s="28"/>
    </row>
    <row r="296" spans="15:18" x14ac:dyDescent="0.3">
      <c r="O296" s="4"/>
      <c r="P296" s="4"/>
      <c r="Q296" s="4"/>
      <c r="R296" s="28"/>
    </row>
    <row r="297" spans="15:18" x14ac:dyDescent="0.3">
      <c r="O297" s="4"/>
      <c r="P297" s="4"/>
      <c r="Q297" s="4"/>
      <c r="R297" s="28"/>
    </row>
    <row r="298" spans="15:18" x14ac:dyDescent="0.3">
      <c r="O298" s="4"/>
      <c r="P298" s="4"/>
      <c r="Q298" s="4"/>
      <c r="R298" s="28"/>
    </row>
    <row r="299" spans="15:18" x14ac:dyDescent="0.3">
      <c r="O299" s="4"/>
      <c r="P299" s="4"/>
      <c r="Q299" s="4"/>
      <c r="R299" s="28"/>
    </row>
    <row r="300" spans="15:18" x14ac:dyDescent="0.3">
      <c r="O300" s="4"/>
      <c r="P300" s="4"/>
      <c r="Q300" s="4"/>
      <c r="R300" s="28"/>
    </row>
    <row r="301" spans="15:18" x14ac:dyDescent="0.3">
      <c r="O301" s="4"/>
      <c r="P301" s="4"/>
      <c r="Q301" s="4"/>
      <c r="R301" s="28"/>
    </row>
    <row r="302" spans="15:18" x14ac:dyDescent="0.3">
      <c r="O302" s="4"/>
      <c r="P302" s="4"/>
      <c r="Q302" s="4"/>
      <c r="R302" s="28"/>
    </row>
    <row r="303" spans="15:18" x14ac:dyDescent="0.3">
      <c r="O303" s="4"/>
      <c r="P303" s="4"/>
      <c r="Q303" s="4"/>
      <c r="R303" s="28"/>
    </row>
    <row r="304" spans="15:18" x14ac:dyDescent="0.3">
      <c r="O304" s="4"/>
      <c r="P304" s="4"/>
      <c r="Q304" s="4"/>
      <c r="R304" s="28"/>
    </row>
    <row r="305" spans="15:18" x14ac:dyDescent="0.3">
      <c r="O305" s="4"/>
      <c r="P305" s="4"/>
      <c r="Q305" s="4"/>
      <c r="R305" s="28"/>
    </row>
    <row r="306" spans="15:18" x14ac:dyDescent="0.3">
      <c r="O306" s="4"/>
      <c r="P306" s="4"/>
      <c r="Q306" s="4"/>
      <c r="R306" s="28"/>
    </row>
    <row r="307" spans="15:18" x14ac:dyDescent="0.3">
      <c r="O307" s="4"/>
      <c r="P307" s="4"/>
      <c r="Q307" s="4"/>
      <c r="R307" s="28"/>
    </row>
    <row r="308" spans="15:18" x14ac:dyDescent="0.3">
      <c r="O308" s="4"/>
      <c r="P308" s="4"/>
      <c r="Q308" s="4"/>
      <c r="R308" s="28"/>
    </row>
    <row r="309" spans="15:18" x14ac:dyDescent="0.3">
      <c r="O309" s="4"/>
      <c r="P309" s="4"/>
      <c r="Q309" s="4"/>
      <c r="R309" s="28"/>
    </row>
    <row r="310" spans="15:18" x14ac:dyDescent="0.3">
      <c r="O310" s="4"/>
      <c r="P310" s="4"/>
      <c r="Q310" s="4"/>
      <c r="R310" s="28"/>
    </row>
    <row r="311" spans="15:18" x14ac:dyDescent="0.3">
      <c r="O311" s="4"/>
      <c r="P311" s="4"/>
      <c r="Q311" s="4"/>
      <c r="R311" s="28"/>
    </row>
    <row r="312" spans="15:18" x14ac:dyDescent="0.3">
      <c r="O312" s="4"/>
      <c r="P312" s="4"/>
      <c r="Q312" s="4"/>
      <c r="R312" s="28"/>
    </row>
    <row r="313" spans="15:18" x14ac:dyDescent="0.3">
      <c r="O313" s="4"/>
      <c r="P313" s="4"/>
      <c r="Q313" s="4"/>
      <c r="R313" s="28"/>
    </row>
    <row r="314" spans="15:18" x14ac:dyDescent="0.3">
      <c r="O314" s="4"/>
      <c r="P314" s="4"/>
      <c r="Q314" s="4"/>
      <c r="R314" s="28"/>
    </row>
    <row r="315" spans="15:18" x14ac:dyDescent="0.3">
      <c r="O315" s="4"/>
      <c r="P315" s="4"/>
      <c r="Q315" s="4"/>
      <c r="R315" s="28"/>
    </row>
    <row r="316" spans="15:18" x14ac:dyDescent="0.3">
      <c r="O316" s="4"/>
      <c r="P316" s="4"/>
      <c r="Q316" s="4"/>
      <c r="R316" s="28"/>
    </row>
    <row r="317" spans="15:18" x14ac:dyDescent="0.3">
      <c r="O317" s="4"/>
      <c r="P317" s="4"/>
      <c r="Q317" s="4"/>
      <c r="R317" s="28"/>
    </row>
    <row r="318" spans="15:18" x14ac:dyDescent="0.3">
      <c r="O318" s="4"/>
      <c r="P318" s="4"/>
      <c r="Q318" s="4"/>
      <c r="R318" s="28"/>
    </row>
    <row r="319" spans="15:18" x14ac:dyDescent="0.3">
      <c r="O319" s="4"/>
      <c r="P319" s="4"/>
      <c r="Q319" s="4"/>
      <c r="R319" s="28"/>
    </row>
    <row r="320" spans="15:18" x14ac:dyDescent="0.3">
      <c r="O320" s="4"/>
      <c r="P320" s="4"/>
      <c r="Q320" s="4"/>
      <c r="R320" s="28"/>
    </row>
    <row r="321" spans="15:18" x14ac:dyDescent="0.3">
      <c r="O321" s="4"/>
      <c r="P321" s="4"/>
      <c r="Q321" s="4"/>
      <c r="R321" s="28"/>
    </row>
    <row r="322" spans="15:18" x14ac:dyDescent="0.3">
      <c r="O322" s="4"/>
      <c r="P322" s="4"/>
      <c r="Q322" s="4"/>
      <c r="R322" s="28"/>
    </row>
    <row r="323" spans="15:18" x14ac:dyDescent="0.3">
      <c r="O323" s="4"/>
      <c r="P323" s="4"/>
      <c r="Q323" s="4"/>
      <c r="R323" s="28"/>
    </row>
    <row r="324" spans="15:18" x14ac:dyDescent="0.3">
      <c r="O324" s="4"/>
      <c r="P324" s="4"/>
      <c r="Q324" s="4"/>
      <c r="R324" s="28"/>
    </row>
    <row r="325" spans="15:18" x14ac:dyDescent="0.3">
      <c r="O325" s="4"/>
      <c r="P325" s="4"/>
      <c r="Q325" s="4"/>
      <c r="R325" s="28"/>
    </row>
    <row r="326" spans="15:18" x14ac:dyDescent="0.3">
      <c r="O326" s="4"/>
      <c r="P326" s="4"/>
      <c r="Q326" s="4"/>
      <c r="R326" s="28"/>
    </row>
    <row r="327" spans="15:18" x14ac:dyDescent="0.3">
      <c r="O327" s="4"/>
      <c r="P327" s="4"/>
      <c r="Q327" s="4"/>
      <c r="R327" s="28"/>
    </row>
    <row r="328" spans="15:18" x14ac:dyDescent="0.3">
      <c r="O328" s="4"/>
      <c r="P328" s="4"/>
      <c r="Q328" s="4"/>
      <c r="R328" s="28"/>
    </row>
    <row r="329" spans="15:18" x14ac:dyDescent="0.3">
      <c r="O329" s="4"/>
      <c r="P329" s="4"/>
      <c r="Q329" s="4"/>
      <c r="R329" s="28"/>
    </row>
    <row r="330" spans="15:18" x14ac:dyDescent="0.3">
      <c r="O330" s="4"/>
      <c r="P330" s="4"/>
      <c r="Q330" s="4"/>
      <c r="R330" s="28"/>
    </row>
    <row r="331" spans="15:18" x14ac:dyDescent="0.3">
      <c r="O331" s="4"/>
      <c r="P331" s="4"/>
      <c r="Q331" s="4"/>
      <c r="R331" s="28"/>
    </row>
    <row r="332" spans="15:18" x14ac:dyDescent="0.3">
      <c r="O332" s="4"/>
      <c r="P332" s="4"/>
      <c r="Q332" s="4"/>
      <c r="R332" s="28"/>
    </row>
    <row r="333" spans="15:18" x14ac:dyDescent="0.3">
      <c r="O333" s="4"/>
      <c r="P333" s="4"/>
      <c r="Q333" s="4"/>
      <c r="R333" s="28"/>
    </row>
    <row r="334" spans="15:18" x14ac:dyDescent="0.3">
      <c r="O334" s="4"/>
      <c r="P334" s="4"/>
      <c r="Q334" s="4"/>
      <c r="R334" s="28"/>
    </row>
    <row r="335" spans="15:18" x14ac:dyDescent="0.3">
      <c r="O335" s="4"/>
      <c r="P335" s="4"/>
      <c r="Q335" s="4"/>
      <c r="R335" s="28"/>
    </row>
    <row r="336" spans="15:18" x14ac:dyDescent="0.3">
      <c r="O336" s="4"/>
      <c r="P336" s="4"/>
      <c r="Q336" s="4"/>
      <c r="R336" s="28"/>
    </row>
    <row r="337" spans="15:18" x14ac:dyDescent="0.3">
      <c r="O337" s="4"/>
      <c r="P337" s="4"/>
      <c r="Q337" s="4"/>
      <c r="R337" s="28"/>
    </row>
    <row r="338" spans="15:18" x14ac:dyDescent="0.3">
      <c r="O338" s="4"/>
      <c r="P338" s="4"/>
      <c r="Q338" s="4"/>
      <c r="R338" s="28"/>
    </row>
    <row r="339" spans="15:18" x14ac:dyDescent="0.3">
      <c r="O339" s="4"/>
      <c r="P339" s="4"/>
      <c r="Q339" s="4"/>
      <c r="R339" s="28"/>
    </row>
    <row r="340" spans="15:18" x14ac:dyDescent="0.3">
      <c r="O340" s="4"/>
      <c r="P340" s="4"/>
      <c r="Q340" s="4"/>
      <c r="R340" s="28"/>
    </row>
    <row r="341" spans="15:18" x14ac:dyDescent="0.3">
      <c r="O341" s="4"/>
      <c r="P341" s="4"/>
      <c r="Q341" s="4"/>
      <c r="R341" s="28"/>
    </row>
    <row r="342" spans="15:18" x14ac:dyDescent="0.3">
      <c r="O342" s="4"/>
      <c r="P342" s="4"/>
      <c r="Q342" s="4"/>
      <c r="R342" s="28"/>
    </row>
    <row r="343" spans="15:18" x14ac:dyDescent="0.3">
      <c r="O343" s="4"/>
      <c r="P343" s="4"/>
      <c r="Q343" s="4"/>
      <c r="R343" s="28"/>
    </row>
    <row r="344" spans="15:18" x14ac:dyDescent="0.3">
      <c r="O344" s="4"/>
      <c r="P344" s="4"/>
      <c r="Q344" s="4"/>
      <c r="R344" s="28"/>
    </row>
    <row r="345" spans="15:18" x14ac:dyDescent="0.3">
      <c r="O345" s="4"/>
      <c r="P345" s="4"/>
      <c r="Q345" s="4"/>
      <c r="R345" s="28"/>
    </row>
    <row r="346" spans="15:18" x14ac:dyDescent="0.3">
      <c r="O346" s="4"/>
      <c r="P346" s="4"/>
      <c r="Q346" s="4"/>
      <c r="R346" s="28"/>
    </row>
    <row r="347" spans="15:18" x14ac:dyDescent="0.3">
      <c r="O347" s="4"/>
      <c r="P347" s="4"/>
      <c r="Q347" s="4"/>
      <c r="R347" s="28"/>
    </row>
    <row r="348" spans="15:18" x14ac:dyDescent="0.3">
      <c r="O348" s="4"/>
      <c r="P348" s="4"/>
      <c r="Q348" s="4"/>
      <c r="R348" s="28"/>
    </row>
    <row r="349" spans="15:18" x14ac:dyDescent="0.3">
      <c r="O349" s="4"/>
      <c r="P349" s="4"/>
      <c r="Q349" s="4"/>
      <c r="R349" s="28"/>
    </row>
    <row r="350" spans="15:18" x14ac:dyDescent="0.3">
      <c r="O350" s="4"/>
      <c r="P350" s="4"/>
      <c r="Q350" s="4"/>
      <c r="R350" s="28"/>
    </row>
    <row r="351" spans="15:18" x14ac:dyDescent="0.3">
      <c r="O351" s="4"/>
      <c r="P351" s="4"/>
      <c r="Q351" s="4"/>
      <c r="R351" s="28"/>
    </row>
    <row r="352" spans="15:18" x14ac:dyDescent="0.3">
      <c r="O352" s="4"/>
      <c r="P352" s="4"/>
      <c r="Q352" s="4"/>
      <c r="R352" s="28"/>
    </row>
    <row r="353" spans="15:18" x14ac:dyDescent="0.3">
      <c r="O353" s="4"/>
      <c r="P353" s="4"/>
      <c r="Q353" s="4"/>
      <c r="R353" s="28"/>
    </row>
    <row r="354" spans="15:18" x14ac:dyDescent="0.3">
      <c r="O354" s="4"/>
      <c r="P354" s="4"/>
      <c r="Q354" s="4"/>
      <c r="R354" s="28"/>
    </row>
    <row r="355" spans="15:18" x14ac:dyDescent="0.3">
      <c r="O355" s="4"/>
      <c r="P355" s="4"/>
      <c r="Q355" s="4"/>
      <c r="R355" s="28"/>
    </row>
    <row r="356" spans="15:18" x14ac:dyDescent="0.3">
      <c r="O356" s="4"/>
      <c r="P356" s="4"/>
      <c r="Q356" s="4"/>
      <c r="R356" s="28"/>
    </row>
    <row r="357" spans="15:18" x14ac:dyDescent="0.3">
      <c r="O357" s="4"/>
      <c r="P357" s="4"/>
      <c r="Q357" s="4"/>
      <c r="R357" s="28"/>
    </row>
    <row r="358" spans="15:18" x14ac:dyDescent="0.3">
      <c r="O358" s="4"/>
      <c r="P358" s="4"/>
      <c r="Q358" s="4"/>
      <c r="R358" s="28"/>
    </row>
    <row r="359" spans="15:18" x14ac:dyDescent="0.3">
      <c r="O359" s="4"/>
      <c r="P359" s="4"/>
      <c r="Q359" s="4"/>
      <c r="R359" s="28"/>
    </row>
    <row r="360" spans="15:18" x14ac:dyDescent="0.3">
      <c r="O360" s="4"/>
      <c r="P360" s="4"/>
      <c r="Q360" s="4"/>
      <c r="R360" s="28"/>
    </row>
    <row r="361" spans="15:18" x14ac:dyDescent="0.3">
      <c r="O361" s="4"/>
      <c r="P361" s="4"/>
      <c r="Q361" s="4"/>
      <c r="R361" s="28"/>
    </row>
    <row r="362" spans="15:18" x14ac:dyDescent="0.3">
      <c r="O362" s="4"/>
      <c r="P362" s="4"/>
      <c r="Q362" s="4"/>
      <c r="R362" s="28"/>
    </row>
    <row r="363" spans="15:18" x14ac:dyDescent="0.3">
      <c r="O363" s="4"/>
      <c r="P363" s="4"/>
      <c r="Q363" s="4"/>
      <c r="R363" s="28"/>
    </row>
    <row r="364" spans="15:18" x14ac:dyDescent="0.3">
      <c r="O364" s="4"/>
      <c r="P364" s="4"/>
      <c r="Q364" s="4"/>
      <c r="R364" s="28"/>
    </row>
    <row r="365" spans="15:18" x14ac:dyDescent="0.3">
      <c r="O365" s="4"/>
      <c r="P365" s="4"/>
      <c r="Q365" s="4"/>
      <c r="R365" s="28"/>
    </row>
    <row r="366" spans="15:18" x14ac:dyDescent="0.3">
      <c r="O366" s="4"/>
      <c r="P366" s="4"/>
      <c r="Q366" s="4"/>
      <c r="R366" s="28"/>
    </row>
    <row r="367" spans="15:18" x14ac:dyDescent="0.3">
      <c r="O367" s="4"/>
      <c r="P367" s="4"/>
      <c r="Q367" s="4"/>
      <c r="R367" s="28"/>
    </row>
    <row r="368" spans="15:18" x14ac:dyDescent="0.3">
      <c r="O368" s="4"/>
      <c r="P368" s="4"/>
      <c r="Q368" s="4"/>
      <c r="R368" s="28"/>
    </row>
    <row r="369" spans="15:18" x14ac:dyDescent="0.3">
      <c r="O369" s="4"/>
      <c r="P369" s="4"/>
      <c r="Q369" s="4"/>
      <c r="R369" s="28"/>
    </row>
    <row r="370" spans="15:18" x14ac:dyDescent="0.3">
      <c r="O370" s="4"/>
      <c r="P370" s="4"/>
      <c r="Q370" s="4"/>
      <c r="R370" s="28"/>
    </row>
    <row r="371" spans="15:18" x14ac:dyDescent="0.3">
      <c r="O371" s="4"/>
      <c r="P371" s="4"/>
      <c r="Q371" s="4"/>
      <c r="R371" s="28"/>
    </row>
    <row r="372" spans="15:18" x14ac:dyDescent="0.3">
      <c r="O372" s="4"/>
      <c r="P372" s="4"/>
      <c r="Q372" s="4"/>
      <c r="R372" s="28"/>
    </row>
    <row r="373" spans="15:18" x14ac:dyDescent="0.3">
      <c r="O373" s="4"/>
      <c r="P373" s="4"/>
      <c r="Q373" s="4"/>
      <c r="R373" s="28"/>
    </row>
    <row r="374" spans="15:18" x14ac:dyDescent="0.3">
      <c r="O374" s="4"/>
      <c r="P374" s="4"/>
      <c r="Q374" s="4"/>
      <c r="R374" s="28"/>
    </row>
    <row r="375" spans="15:18" x14ac:dyDescent="0.3">
      <c r="O375" s="4"/>
      <c r="P375" s="4"/>
      <c r="Q375" s="4"/>
      <c r="R375" s="28"/>
    </row>
    <row r="376" spans="15:18" x14ac:dyDescent="0.3">
      <c r="O376" s="4"/>
      <c r="P376" s="4"/>
      <c r="Q376" s="4"/>
      <c r="R376" s="28"/>
    </row>
    <row r="377" spans="15:18" x14ac:dyDescent="0.3">
      <c r="O377" s="4"/>
      <c r="P377" s="4"/>
      <c r="Q377" s="4"/>
      <c r="R377" s="28"/>
    </row>
    <row r="378" spans="15:18" x14ac:dyDescent="0.3">
      <c r="O378" s="4"/>
      <c r="P378" s="4"/>
      <c r="Q378" s="4"/>
      <c r="R378" s="28"/>
    </row>
    <row r="379" spans="15:18" x14ac:dyDescent="0.3">
      <c r="O379" s="4"/>
      <c r="P379" s="4"/>
      <c r="Q379" s="4"/>
      <c r="R379" s="28"/>
    </row>
    <row r="380" spans="15:18" x14ac:dyDescent="0.3">
      <c r="O380" s="4"/>
      <c r="P380" s="4"/>
      <c r="Q380" s="4"/>
      <c r="R380" s="28"/>
    </row>
    <row r="381" spans="15:18" x14ac:dyDescent="0.3">
      <c r="O381" s="4"/>
      <c r="P381" s="4"/>
      <c r="Q381" s="4"/>
      <c r="R381" s="28"/>
    </row>
    <row r="382" spans="15:18" x14ac:dyDescent="0.3">
      <c r="O382" s="4"/>
      <c r="P382" s="4"/>
      <c r="Q382" s="4"/>
      <c r="R382" s="28"/>
    </row>
    <row r="383" spans="15:18" x14ac:dyDescent="0.3">
      <c r="O383" s="4"/>
      <c r="P383" s="4"/>
      <c r="Q383" s="4"/>
      <c r="R383" s="28"/>
    </row>
    <row r="384" spans="15:18" x14ac:dyDescent="0.3">
      <c r="O384" s="4"/>
      <c r="P384" s="4"/>
      <c r="Q384" s="4"/>
      <c r="R384" s="28"/>
    </row>
    <row r="385" spans="15:18" x14ac:dyDescent="0.3">
      <c r="O385" s="4"/>
      <c r="P385" s="4"/>
      <c r="Q385" s="4"/>
      <c r="R385" s="28"/>
    </row>
    <row r="386" spans="15:18" x14ac:dyDescent="0.3">
      <c r="O386" s="4"/>
      <c r="P386" s="4"/>
      <c r="Q386" s="4"/>
      <c r="R386" s="28"/>
    </row>
    <row r="387" spans="15:18" x14ac:dyDescent="0.3">
      <c r="O387" s="4"/>
      <c r="P387" s="4"/>
      <c r="Q387" s="4"/>
      <c r="R387" s="28"/>
    </row>
    <row r="388" spans="15:18" x14ac:dyDescent="0.3">
      <c r="O388" s="4"/>
      <c r="P388" s="4"/>
      <c r="Q388" s="4"/>
      <c r="R388" s="28"/>
    </row>
    <row r="389" spans="15:18" x14ac:dyDescent="0.3">
      <c r="O389" s="4"/>
      <c r="P389" s="4"/>
      <c r="Q389" s="4"/>
      <c r="R389" s="28"/>
    </row>
    <row r="390" spans="15:18" x14ac:dyDescent="0.3">
      <c r="O390" s="4"/>
      <c r="P390" s="4"/>
      <c r="Q390" s="4"/>
      <c r="R390" s="28"/>
    </row>
    <row r="391" spans="15:18" x14ac:dyDescent="0.3">
      <c r="O391" s="4"/>
      <c r="P391" s="4"/>
      <c r="Q391" s="4"/>
      <c r="R391" s="28"/>
    </row>
    <row r="392" spans="15:18" x14ac:dyDescent="0.3">
      <c r="O392" s="4"/>
      <c r="P392" s="4"/>
      <c r="Q392" s="4"/>
      <c r="R392" s="28"/>
    </row>
    <row r="393" spans="15:18" x14ac:dyDescent="0.3">
      <c r="O393" s="4"/>
      <c r="P393" s="4"/>
      <c r="Q393" s="4"/>
      <c r="R393" s="28"/>
    </row>
    <row r="394" spans="15:18" x14ac:dyDescent="0.3">
      <c r="O394" s="4"/>
      <c r="P394" s="4"/>
      <c r="Q394" s="4"/>
      <c r="R394" s="28"/>
    </row>
    <row r="395" spans="15:18" x14ac:dyDescent="0.3">
      <c r="O395" s="4"/>
      <c r="P395" s="4"/>
      <c r="Q395" s="4"/>
      <c r="R395" s="28"/>
    </row>
    <row r="396" spans="15:18" x14ac:dyDescent="0.3">
      <c r="O396" s="4"/>
      <c r="P396" s="4"/>
      <c r="Q396" s="4"/>
      <c r="R396" s="28"/>
    </row>
    <row r="397" spans="15:18" x14ac:dyDescent="0.3">
      <c r="O397" s="4"/>
      <c r="P397" s="4"/>
      <c r="Q397" s="4"/>
      <c r="R397" s="28"/>
    </row>
    <row r="398" spans="15:18" x14ac:dyDescent="0.3">
      <c r="O398" s="4"/>
      <c r="P398" s="4"/>
      <c r="Q398" s="4"/>
      <c r="R398" s="28"/>
    </row>
    <row r="399" spans="15:18" x14ac:dyDescent="0.3">
      <c r="O399" s="4"/>
      <c r="P399" s="4"/>
      <c r="Q399" s="4"/>
      <c r="R399" s="28"/>
    </row>
    <row r="400" spans="15:18" x14ac:dyDescent="0.3">
      <c r="O400" s="4"/>
      <c r="P400" s="4"/>
      <c r="Q400" s="4"/>
      <c r="R400" s="28"/>
    </row>
    <row r="401" spans="15:18" x14ac:dyDescent="0.3">
      <c r="O401" s="4"/>
      <c r="P401" s="4"/>
      <c r="Q401" s="4"/>
      <c r="R401" s="28"/>
    </row>
    <row r="402" spans="15:18" x14ac:dyDescent="0.3">
      <c r="O402" s="4"/>
      <c r="P402" s="4"/>
      <c r="Q402" s="4"/>
      <c r="R402" s="28"/>
    </row>
    <row r="403" spans="15:18" x14ac:dyDescent="0.3">
      <c r="O403" s="4"/>
      <c r="P403" s="4"/>
      <c r="Q403" s="4"/>
      <c r="R403" s="28"/>
    </row>
    <row r="404" spans="15:18" x14ac:dyDescent="0.3">
      <c r="O404" s="4"/>
      <c r="P404" s="4"/>
      <c r="Q404" s="4"/>
      <c r="R404" s="28"/>
    </row>
    <row r="405" spans="15:18" x14ac:dyDescent="0.3">
      <c r="O405" s="4"/>
      <c r="P405" s="4"/>
      <c r="Q405" s="4"/>
      <c r="R405" s="28"/>
    </row>
    <row r="406" spans="15:18" x14ac:dyDescent="0.3">
      <c r="O406" s="4"/>
      <c r="P406" s="4"/>
      <c r="Q406" s="4"/>
      <c r="R406" s="28"/>
    </row>
    <row r="407" spans="15:18" x14ac:dyDescent="0.3">
      <c r="O407" s="4"/>
      <c r="P407" s="4"/>
      <c r="Q407" s="4"/>
      <c r="R407" s="28"/>
    </row>
    <row r="408" spans="15:18" x14ac:dyDescent="0.3">
      <c r="O408" s="4"/>
      <c r="P408" s="4"/>
      <c r="Q408" s="4"/>
      <c r="R408" s="28"/>
    </row>
    <row r="409" spans="15:18" x14ac:dyDescent="0.3">
      <c r="O409" s="4"/>
      <c r="P409" s="4"/>
      <c r="Q409" s="4"/>
      <c r="R409" s="28"/>
    </row>
    <row r="410" spans="15:18" x14ac:dyDescent="0.3">
      <c r="O410" s="4"/>
      <c r="P410" s="4"/>
      <c r="Q410" s="4"/>
      <c r="R410" s="28"/>
    </row>
    <row r="411" spans="15:18" x14ac:dyDescent="0.3">
      <c r="O411" s="4"/>
      <c r="P411" s="4"/>
      <c r="Q411" s="4"/>
      <c r="R411" s="28"/>
    </row>
    <row r="412" spans="15:18" x14ac:dyDescent="0.3">
      <c r="O412" s="4"/>
      <c r="P412" s="4"/>
      <c r="Q412" s="4"/>
      <c r="R412" s="28"/>
    </row>
    <row r="413" spans="15:18" x14ac:dyDescent="0.3">
      <c r="O413" s="4"/>
      <c r="P413" s="4"/>
      <c r="Q413" s="4"/>
      <c r="R413" s="28"/>
    </row>
    <row r="414" spans="15:18" x14ac:dyDescent="0.3">
      <c r="O414" s="4"/>
      <c r="P414" s="4"/>
      <c r="Q414" s="4"/>
      <c r="R414" s="28"/>
    </row>
    <row r="415" spans="15:18" x14ac:dyDescent="0.3">
      <c r="O415" s="4"/>
      <c r="P415" s="4"/>
      <c r="Q415" s="4"/>
      <c r="R415" s="28"/>
    </row>
    <row r="416" spans="15:18" x14ac:dyDescent="0.3">
      <c r="O416" s="4"/>
      <c r="P416" s="4"/>
      <c r="Q416" s="4"/>
      <c r="R416" s="28"/>
    </row>
    <row r="417" spans="15:18" x14ac:dyDescent="0.3">
      <c r="O417" s="4"/>
      <c r="P417" s="4"/>
      <c r="Q417" s="4"/>
      <c r="R417" s="28"/>
    </row>
    <row r="418" spans="15:18" x14ac:dyDescent="0.3">
      <c r="O418" s="4"/>
      <c r="P418" s="4"/>
      <c r="Q418" s="4"/>
      <c r="R418" s="28"/>
    </row>
    <row r="419" spans="15:18" x14ac:dyDescent="0.3">
      <c r="O419" s="4"/>
      <c r="P419" s="4"/>
      <c r="Q419" s="4"/>
      <c r="R419" s="28"/>
    </row>
    <row r="420" spans="15:18" x14ac:dyDescent="0.3">
      <c r="O420" s="4"/>
      <c r="P420" s="4"/>
      <c r="Q420" s="4"/>
      <c r="R420" s="28"/>
    </row>
    <row r="421" spans="15:18" x14ac:dyDescent="0.3">
      <c r="O421" s="4"/>
      <c r="P421" s="4"/>
      <c r="Q421" s="4"/>
      <c r="R421" s="28"/>
    </row>
    <row r="422" spans="15:18" x14ac:dyDescent="0.3">
      <c r="O422" s="4"/>
      <c r="P422" s="4"/>
      <c r="Q422" s="4"/>
      <c r="R422" s="28"/>
    </row>
    <row r="423" spans="15:18" x14ac:dyDescent="0.3">
      <c r="O423" s="4"/>
      <c r="P423" s="4"/>
      <c r="Q423" s="4"/>
      <c r="R423" s="28"/>
    </row>
    <row r="424" spans="15:18" x14ac:dyDescent="0.3">
      <c r="O424" s="4"/>
      <c r="P424" s="4"/>
      <c r="Q424" s="4"/>
      <c r="R424" s="28"/>
    </row>
    <row r="425" spans="15:18" x14ac:dyDescent="0.3">
      <c r="O425" s="4"/>
      <c r="P425" s="4"/>
      <c r="Q425" s="4"/>
      <c r="R425" s="28"/>
    </row>
    <row r="426" spans="15:18" x14ac:dyDescent="0.3">
      <c r="O426" s="4"/>
      <c r="P426" s="4"/>
      <c r="Q426" s="4"/>
      <c r="R426" s="28"/>
    </row>
    <row r="427" spans="15:18" x14ac:dyDescent="0.3">
      <c r="O427" s="4"/>
      <c r="P427" s="4"/>
      <c r="Q427" s="4"/>
      <c r="R427" s="28"/>
    </row>
    <row r="428" spans="15:18" x14ac:dyDescent="0.3">
      <c r="O428" s="4"/>
      <c r="P428" s="4"/>
      <c r="Q428" s="4"/>
      <c r="R428" s="28"/>
    </row>
    <row r="429" spans="15:18" x14ac:dyDescent="0.3">
      <c r="O429" s="4"/>
      <c r="P429" s="4"/>
      <c r="Q429" s="4"/>
      <c r="R429" s="28"/>
    </row>
    <row r="430" spans="15:18" x14ac:dyDescent="0.3">
      <c r="O430" s="4"/>
      <c r="P430" s="4"/>
      <c r="Q430" s="4"/>
      <c r="R430" s="28"/>
    </row>
    <row r="431" spans="15:18" x14ac:dyDescent="0.3">
      <c r="O431" s="4"/>
      <c r="P431" s="4"/>
      <c r="Q431" s="4"/>
      <c r="R431" s="28"/>
    </row>
    <row r="432" spans="15:18" x14ac:dyDescent="0.3">
      <c r="O432" s="4"/>
      <c r="P432" s="4"/>
      <c r="Q432" s="4"/>
      <c r="R432" s="28"/>
    </row>
    <row r="433" spans="15:18" x14ac:dyDescent="0.3">
      <c r="O433" s="4"/>
      <c r="P433" s="4"/>
      <c r="Q433" s="4"/>
      <c r="R433" s="28"/>
    </row>
    <row r="434" spans="15:18" x14ac:dyDescent="0.3">
      <c r="O434" s="4"/>
      <c r="P434" s="4"/>
      <c r="Q434" s="4"/>
      <c r="R434" s="28"/>
    </row>
    <row r="435" spans="15:18" x14ac:dyDescent="0.3">
      <c r="O435" s="4"/>
      <c r="P435" s="4"/>
      <c r="Q435" s="4"/>
      <c r="R435" s="28"/>
    </row>
    <row r="436" spans="15:18" x14ac:dyDescent="0.3">
      <c r="O436" s="4"/>
      <c r="P436" s="4"/>
      <c r="Q436" s="4"/>
      <c r="R436" s="28"/>
    </row>
    <row r="437" spans="15:18" x14ac:dyDescent="0.3">
      <c r="O437" s="4"/>
      <c r="P437" s="4"/>
      <c r="Q437" s="4"/>
      <c r="R437" s="28"/>
    </row>
    <row r="438" spans="15:18" x14ac:dyDescent="0.3">
      <c r="O438" s="4"/>
      <c r="P438" s="4"/>
      <c r="Q438" s="4"/>
      <c r="R438" s="28"/>
    </row>
    <row r="439" spans="15:18" x14ac:dyDescent="0.3">
      <c r="O439" s="4"/>
      <c r="P439" s="4"/>
      <c r="Q439" s="4"/>
      <c r="R439" s="28"/>
    </row>
    <row r="440" spans="15:18" x14ac:dyDescent="0.3">
      <c r="O440" s="4"/>
      <c r="P440" s="4"/>
      <c r="Q440" s="4"/>
      <c r="R440" s="28"/>
    </row>
    <row r="441" spans="15:18" x14ac:dyDescent="0.3">
      <c r="O441" s="4"/>
      <c r="P441" s="4"/>
      <c r="Q441" s="4"/>
      <c r="R441" s="28"/>
    </row>
    <row r="442" spans="15:18" x14ac:dyDescent="0.3">
      <c r="O442" s="4"/>
      <c r="P442" s="4"/>
      <c r="Q442" s="4"/>
      <c r="R442" s="28"/>
    </row>
    <row r="443" spans="15:18" x14ac:dyDescent="0.3">
      <c r="O443" s="4"/>
      <c r="P443" s="4"/>
      <c r="Q443" s="4"/>
      <c r="R443" s="28"/>
    </row>
    <row r="444" spans="15:18" x14ac:dyDescent="0.3">
      <c r="O444" s="4"/>
      <c r="P444" s="4"/>
      <c r="Q444" s="4"/>
      <c r="R444" s="28"/>
    </row>
    <row r="445" spans="15:18" x14ac:dyDescent="0.3">
      <c r="O445" s="4"/>
      <c r="P445" s="4"/>
      <c r="Q445" s="4"/>
      <c r="R445" s="28"/>
    </row>
    <row r="446" spans="15:18" x14ac:dyDescent="0.3">
      <c r="O446" s="4"/>
      <c r="P446" s="4"/>
      <c r="Q446" s="4"/>
      <c r="R446" s="28"/>
    </row>
    <row r="447" spans="15:18" x14ac:dyDescent="0.3">
      <c r="O447" s="4"/>
      <c r="P447" s="4"/>
      <c r="Q447" s="4"/>
      <c r="R447" s="28"/>
    </row>
    <row r="448" spans="15:18" x14ac:dyDescent="0.3">
      <c r="O448" s="4"/>
      <c r="P448" s="4"/>
      <c r="Q448" s="4"/>
      <c r="R448" s="28"/>
    </row>
    <row r="449" spans="15:18" x14ac:dyDescent="0.3">
      <c r="O449" s="4"/>
      <c r="P449" s="4"/>
      <c r="Q449" s="4"/>
      <c r="R449" s="28"/>
    </row>
    <row r="450" spans="15:18" x14ac:dyDescent="0.3">
      <c r="O450" s="4"/>
      <c r="P450" s="4"/>
      <c r="Q450" s="4"/>
      <c r="R450" s="28"/>
    </row>
    <row r="451" spans="15:18" x14ac:dyDescent="0.3">
      <c r="O451" s="4"/>
      <c r="P451" s="4"/>
      <c r="Q451" s="4"/>
      <c r="R451" s="28"/>
    </row>
    <row r="452" spans="15:18" x14ac:dyDescent="0.3">
      <c r="O452" s="4"/>
      <c r="P452" s="4"/>
      <c r="Q452" s="4"/>
      <c r="R452" s="28"/>
    </row>
    <row r="453" spans="15:18" x14ac:dyDescent="0.3">
      <c r="O453" s="4"/>
      <c r="P453" s="4"/>
      <c r="Q453" s="4"/>
      <c r="R453" s="28"/>
    </row>
    <row r="454" spans="15:18" x14ac:dyDescent="0.3">
      <c r="O454" s="4"/>
      <c r="P454" s="4"/>
      <c r="Q454" s="4"/>
      <c r="R454" s="28"/>
    </row>
    <row r="455" spans="15:18" x14ac:dyDescent="0.3">
      <c r="O455" s="4"/>
      <c r="P455" s="4"/>
      <c r="Q455" s="4"/>
      <c r="R455" s="28"/>
    </row>
    <row r="456" spans="15:18" x14ac:dyDescent="0.3">
      <c r="O456" s="4"/>
      <c r="P456" s="4"/>
      <c r="Q456" s="4"/>
      <c r="R456" s="28"/>
    </row>
    <row r="457" spans="15:18" x14ac:dyDescent="0.3">
      <c r="O457" s="4"/>
      <c r="P457" s="4"/>
      <c r="Q457" s="4"/>
      <c r="R457" s="28"/>
    </row>
    <row r="458" spans="15:18" x14ac:dyDescent="0.3">
      <c r="O458" s="4"/>
      <c r="P458" s="4"/>
      <c r="Q458" s="4"/>
      <c r="R458" s="28"/>
    </row>
    <row r="459" spans="15:18" x14ac:dyDescent="0.3">
      <c r="O459" s="4"/>
      <c r="P459" s="4"/>
      <c r="Q459" s="4"/>
      <c r="R459" s="28"/>
    </row>
    <row r="464" spans="15:18" x14ac:dyDescent="0.3">
      <c r="O464" s="1"/>
      <c r="P464" s="1"/>
      <c r="Q464" s="1"/>
      <c r="R464" s="31"/>
    </row>
    <row r="465" spans="15:18" x14ac:dyDescent="0.3">
      <c r="O465" s="1"/>
      <c r="P465" s="1"/>
      <c r="Q465" s="1"/>
      <c r="R465" s="31"/>
    </row>
    <row r="466" spans="15:18" x14ac:dyDescent="0.3">
      <c r="O466" s="1"/>
      <c r="P466" s="1"/>
      <c r="Q466" s="1"/>
      <c r="R466" s="31"/>
    </row>
    <row r="467" spans="15:18" x14ac:dyDescent="0.3">
      <c r="O467" s="1"/>
      <c r="P467" s="1"/>
      <c r="Q467" s="1"/>
      <c r="R467" s="31"/>
    </row>
    <row r="468" spans="15:18" x14ac:dyDescent="0.3">
      <c r="O468" s="1"/>
      <c r="P468" s="1"/>
      <c r="Q468" s="1"/>
      <c r="R468" s="31"/>
    </row>
    <row r="469" spans="15:18" x14ac:dyDescent="0.3">
      <c r="O469" s="1"/>
      <c r="P469" s="1"/>
      <c r="Q469" s="1"/>
      <c r="R469" s="31"/>
    </row>
    <row r="470" spans="15:18" x14ac:dyDescent="0.3">
      <c r="O470" s="1"/>
      <c r="P470" s="1"/>
      <c r="Q470" s="1"/>
      <c r="R470" s="31"/>
    </row>
    <row r="471" spans="15:18" x14ac:dyDescent="0.3">
      <c r="O471" s="1"/>
      <c r="P471" s="1"/>
      <c r="Q471" s="1"/>
      <c r="R471" s="31"/>
    </row>
    <row r="472" spans="15:18" x14ac:dyDescent="0.3">
      <c r="O472" s="1"/>
      <c r="P472" s="1"/>
      <c r="Q472" s="1"/>
      <c r="R472" s="31"/>
    </row>
    <row r="473" spans="15:18" x14ac:dyDescent="0.3">
      <c r="O473" s="1"/>
      <c r="P473" s="1"/>
      <c r="Q473" s="1"/>
      <c r="R473" s="31"/>
    </row>
    <row r="474" spans="15:18" x14ac:dyDescent="0.3">
      <c r="O474" s="1"/>
      <c r="P474" s="1"/>
      <c r="Q474" s="1"/>
      <c r="R474" s="31"/>
    </row>
    <row r="475" spans="15:18" x14ac:dyDescent="0.3">
      <c r="O475" s="1"/>
      <c r="P475" s="1"/>
      <c r="Q475" s="1"/>
      <c r="R475" s="31"/>
    </row>
  </sheetData>
  <autoFilter ref="A6:U253" xr:uid="{00000000-0009-0000-0000-000000000000}">
    <filterColumn colId="18" showButton="0"/>
  </autoFilter>
  <mergeCells count="33">
    <mergeCell ref="S6:T6"/>
    <mergeCell ref="U6:U7"/>
    <mergeCell ref="A256:C256"/>
    <mergeCell ref="R6:R7"/>
    <mergeCell ref="Q6:Q7"/>
    <mergeCell ref="G6:G7"/>
    <mergeCell ref="E6:E7"/>
    <mergeCell ref="F6:F7"/>
    <mergeCell ref="I6:I7"/>
    <mergeCell ref="H6:H7"/>
    <mergeCell ref="J6:J7"/>
    <mergeCell ref="K6:K7"/>
    <mergeCell ref="L6:L7"/>
    <mergeCell ref="P6:P7"/>
    <mergeCell ref="O6:O7"/>
    <mergeCell ref="N6:N7"/>
    <mergeCell ref="M6:M7"/>
    <mergeCell ref="A259:B259"/>
    <mergeCell ref="A260:B260"/>
    <mergeCell ref="A6:A7"/>
    <mergeCell ref="B2:D2"/>
    <mergeCell ref="B3:D3"/>
    <mergeCell ref="B4:C4"/>
    <mergeCell ref="B6:B7"/>
    <mergeCell ref="A257:B257"/>
    <mergeCell ref="A258:B258"/>
    <mergeCell ref="M201:M202"/>
    <mergeCell ref="U201:U202"/>
    <mergeCell ref="N201:N202"/>
    <mergeCell ref="O201:O202"/>
    <mergeCell ref="P201:P202"/>
    <mergeCell ref="Q201:Q202"/>
    <mergeCell ref="R201:R202"/>
  </mergeCells>
  <hyperlinks>
    <hyperlink ref="E11" r:id="rId1" xr:uid="{00000000-0004-0000-0000-000086000000}"/>
    <hyperlink ref="E9" r:id="rId2" xr:uid="{00000000-0004-0000-0000-000087000000}"/>
    <hyperlink ref="E12" r:id="rId3" xr:uid="{00000000-0004-0000-0000-000088000000}"/>
    <hyperlink ref="E13" r:id="rId4" xr:uid="{00000000-0004-0000-0000-000089000000}"/>
    <hyperlink ref="E14" r:id="rId5" xr:uid="{00000000-0004-0000-0000-00008A000000}"/>
    <hyperlink ref="E15" r:id="rId6" xr:uid="{00000000-0004-0000-0000-00008B000000}"/>
    <hyperlink ref="E8:F8" r:id="rId7" display="BOULEVARD VITRINES" xr:uid="{00000000-0004-0000-0000-00003B010000}"/>
    <hyperlink ref="E232" r:id="rId8" xr:uid="{00000000-0004-0000-0000-00005B010000}"/>
    <hyperlink ref="E233" r:id="rId9" xr:uid="{00000000-0004-0000-0000-00005C010000}"/>
    <hyperlink ref="E175" r:id="rId10" xr:uid="{00000000-0004-0000-0000-00005D010000}"/>
    <hyperlink ref="E180" r:id="rId11" xr:uid="{00000000-0004-0000-0000-00005E010000}"/>
    <hyperlink ref="E181" r:id="rId12" xr:uid="{00000000-0004-0000-0000-00005F010000}"/>
    <hyperlink ref="E207" r:id="rId13" xr:uid="{00000000-0004-0000-0000-000060010000}"/>
    <hyperlink ref="E184" r:id="rId14" xr:uid="{00000000-0004-0000-0000-000061010000}"/>
    <hyperlink ref="E236" r:id="rId15" xr:uid="{00000000-0004-0000-0000-000062010000}"/>
    <hyperlink ref="E195" r:id="rId16" xr:uid="{00000000-0004-0000-0000-000063010000}"/>
    <hyperlink ref="E173" r:id="rId17" xr:uid="{00000000-0004-0000-0000-000064010000}"/>
    <hyperlink ref="E176" r:id="rId18" xr:uid="{00000000-0004-0000-0000-000065010000}"/>
    <hyperlink ref="E178" r:id="rId19" xr:uid="{00000000-0004-0000-0000-000066010000}"/>
    <hyperlink ref="E210" r:id="rId20" xr:uid="{00000000-0004-0000-0000-000067010000}"/>
    <hyperlink ref="E211" r:id="rId21" xr:uid="{00000000-0004-0000-0000-000068010000}"/>
    <hyperlink ref="E218" r:id="rId22" xr:uid="{00000000-0004-0000-0000-000069010000}"/>
    <hyperlink ref="E219" r:id="rId23" xr:uid="{00000000-0004-0000-0000-00006A010000}"/>
    <hyperlink ref="E215" r:id="rId24" xr:uid="{00000000-0004-0000-0000-00006B010000}"/>
    <hyperlink ref="E216" r:id="rId25" xr:uid="{00000000-0004-0000-0000-00006C010000}"/>
    <hyperlink ref="E182" r:id="rId26" xr:uid="{00000000-0004-0000-0000-00006D010000}"/>
    <hyperlink ref="E185" r:id="rId27" xr:uid="{00000000-0004-0000-0000-00006E010000}"/>
    <hyperlink ref="E220" r:id="rId28" xr:uid="{00000000-0004-0000-0000-00006F010000}"/>
    <hyperlink ref="E229" r:id="rId29" xr:uid="{00000000-0004-0000-0000-000070010000}"/>
    <hyperlink ref="E253" r:id="rId30" xr:uid="{00000000-0004-0000-0000-000071010000}"/>
    <hyperlink ref="E217" r:id="rId31" xr:uid="{00000000-0004-0000-0000-000072010000}"/>
    <hyperlink ref="E221" r:id="rId32" xr:uid="{00000000-0004-0000-0000-000073010000}"/>
    <hyperlink ref="E186" r:id="rId33" xr:uid="{00000000-0004-0000-0000-000074010000}"/>
    <hyperlink ref="E208" r:id="rId34" xr:uid="{00000000-0004-0000-0000-000075010000}"/>
    <hyperlink ref="E228" r:id="rId35" xr:uid="{00000000-0004-0000-0000-000076010000}"/>
    <hyperlink ref="E224" r:id="rId36" xr:uid="{00000000-0004-0000-0000-000077010000}"/>
    <hyperlink ref="E203" r:id="rId37" xr:uid="{00000000-0004-0000-0000-000078010000}"/>
    <hyperlink ref="E188" r:id="rId38" xr:uid="{00000000-0004-0000-0000-000079010000}"/>
    <hyperlink ref="E225" r:id="rId39" xr:uid="{00000000-0004-0000-0000-00007A010000}"/>
    <hyperlink ref="E223" r:id="rId40" xr:uid="{00000000-0004-0000-0000-00007B010000}"/>
    <hyperlink ref="E227" r:id="rId41" xr:uid="{00000000-0004-0000-0000-00007C010000}"/>
    <hyperlink ref="E222" r:id="rId42" xr:uid="{00000000-0004-0000-0000-00007D010000}"/>
    <hyperlink ref="E237" r:id="rId43" xr:uid="{00000000-0004-0000-0000-00007E010000}"/>
    <hyperlink ref="E247" r:id="rId44" xr:uid="{00000000-0004-0000-0000-00007F010000}"/>
    <hyperlink ref="E230" r:id="rId45" xr:uid="{00000000-0004-0000-0000-000080010000}"/>
    <hyperlink ref="E231" r:id="rId46" xr:uid="{00000000-0004-0000-0000-000081010000}"/>
    <hyperlink ref="E242" r:id="rId47" xr:uid="{00000000-0004-0000-0000-000082010000}"/>
    <hyperlink ref="E243" r:id="rId48" xr:uid="{00000000-0004-0000-0000-000083010000}"/>
    <hyperlink ref="E246" r:id="rId49" xr:uid="{00000000-0004-0000-0000-000084010000}"/>
    <hyperlink ref="E241" r:id="rId50" xr:uid="{00000000-0004-0000-0000-000085010000}"/>
    <hyperlink ref="E234" r:id="rId51" xr:uid="{00000000-0004-0000-0000-000086010000}"/>
    <hyperlink ref="E209" r:id="rId52" xr:uid="{00000000-0004-0000-0000-000087010000}"/>
    <hyperlink ref="E235" r:id="rId53" xr:uid="{00000000-0004-0000-0000-000088010000}"/>
    <hyperlink ref="E171" r:id="rId54" xr:uid="{00000000-0004-0000-0000-000089010000}"/>
    <hyperlink ref="E249" r:id="rId55" xr:uid="{00000000-0004-0000-0000-00008A010000}"/>
    <hyperlink ref="E248" r:id="rId56" xr:uid="{00000000-0004-0000-0000-00008B010000}"/>
    <hyperlink ref="E174" r:id="rId57" xr:uid="{00000000-0004-0000-0000-0000CD010000}"/>
    <hyperlink ref="E177" r:id="rId58" xr:uid="{00000000-0004-0000-0000-0000CE010000}"/>
    <hyperlink ref="E179" r:id="rId59" xr:uid="{00000000-0004-0000-0000-0000CF010000}"/>
    <hyperlink ref="E196:E199" r:id="rId60" display="TOILET MIRROR STICKERS " xr:uid="{00000000-0004-0000-0000-0000D0010000}"/>
    <hyperlink ref="E200" r:id="rId61" xr:uid="{00000000-0004-0000-0000-0000D1010000}"/>
    <hyperlink ref="E206" r:id="rId62" xr:uid="{00000000-0004-0000-0000-0000D2010000}"/>
    <hyperlink ref="E202" r:id="rId63" xr:uid="{00000000-0004-0000-0000-0000D3010000}"/>
    <hyperlink ref="E201" r:id="rId64" xr:uid="{00000000-0004-0000-0000-0000D4010000}"/>
    <hyperlink ref="E205" r:id="rId65" xr:uid="{00000000-0004-0000-0000-0000D5010000}"/>
    <hyperlink ref="E204" r:id="rId66" xr:uid="{00000000-0004-0000-0000-0000D6010000}"/>
    <hyperlink ref="E189" r:id="rId67" xr:uid="{00000000-0004-0000-0000-0000D7010000}"/>
    <hyperlink ref="E190:E193" r:id="rId68" display="TOILET MIRROR STICKERS " xr:uid="{00000000-0004-0000-0000-0000D8010000}"/>
    <hyperlink ref="E194" r:id="rId69" xr:uid="{00000000-0004-0000-0000-0000D9010000}"/>
    <hyperlink ref="E187" r:id="rId70" xr:uid="{00000000-0004-0000-0000-000006020000}"/>
    <hyperlink ref="E226" r:id="rId71" xr:uid="{00000000-0004-0000-0000-000007020000}"/>
    <hyperlink ref="E239" r:id="rId72" xr:uid="{00000000-0004-0000-0000-000008020000}"/>
    <hyperlink ref="E238" r:id="rId73" xr:uid="{00000000-0004-0000-0000-000009020000}"/>
    <hyperlink ref="E240" r:id="rId74" xr:uid="{00000000-0004-0000-0000-00000A020000}"/>
    <hyperlink ref="E244" r:id="rId75" xr:uid="{00000000-0004-0000-0000-00000B020000}"/>
    <hyperlink ref="E250" r:id="rId76" xr:uid="{00000000-0004-0000-0000-00000C020000}"/>
    <hyperlink ref="E213" r:id="rId77" xr:uid="{00000000-0004-0000-0000-00000D020000}"/>
    <hyperlink ref="E214" r:id="rId78" xr:uid="{00000000-0004-0000-0000-00000E020000}"/>
    <hyperlink ref="E212" r:id="rId79" xr:uid="{00000000-0004-0000-0000-00000F020000}"/>
    <hyperlink ref="E183" r:id="rId80" xr:uid="{00000000-0004-0000-0000-000010020000}"/>
    <hyperlink ref="E252" r:id="rId81" xr:uid="{00000000-0004-0000-0000-000011020000}"/>
    <hyperlink ref="E251" r:id="rId82" xr:uid="{00000000-0004-0000-0000-000012020000}"/>
    <hyperlink ref="E245" r:id="rId83" xr:uid="{00000000-0004-0000-0000-00008F020000}"/>
    <hyperlink ref="E10" r:id="rId84" xr:uid="{00000000-0004-0000-0000-000091020000}"/>
    <hyperlink ref="F10" r:id="rId85" xr:uid="{00000000-0004-0000-0000-000092020000}"/>
    <hyperlink ref="E8" r:id="rId86" xr:uid="{73700F50-4929-4F9A-8B9A-EAFCCDB12BD7}"/>
    <hyperlink ref="E16" r:id="rId87" xr:uid="{3624BA2E-82BB-4D04-BD30-BD85AD472BDB}"/>
    <hyperlink ref="E17" r:id="rId88" xr:uid="{7FA8F8AE-CEE3-48D9-906B-32739ED16DC9}"/>
    <hyperlink ref="E18" r:id="rId89" xr:uid="{4BFC0CE3-2829-41BE-A5EE-F3B7AF4E2A7A}"/>
    <hyperlink ref="E19" r:id="rId90" xr:uid="{45B9F752-290B-49A8-A6EF-C6C7073B85B2}"/>
    <hyperlink ref="E20" r:id="rId91" xr:uid="{60AED8FE-81BA-4E42-A764-AB993C8D6204}"/>
    <hyperlink ref="E21" r:id="rId92" xr:uid="{D9F322E4-84F8-49F7-A25B-16ECF4AECA70}"/>
    <hyperlink ref="E22" r:id="rId93" xr:uid="{0B92E082-5DA6-453D-8F13-941332496225}"/>
    <hyperlink ref="E23" r:id="rId94" xr:uid="{01334843-272F-448E-A604-6D860D92CDFE}"/>
    <hyperlink ref="E24" r:id="rId95" xr:uid="{84AA5663-1B68-4369-A773-52FAC0CDBA18}"/>
    <hyperlink ref="E25" r:id="rId96" xr:uid="{978D76AA-5DDE-4E46-AB88-7B80EDBF967B}"/>
    <hyperlink ref="E26" r:id="rId97" xr:uid="{396F103B-F77E-458D-9A06-F84C8E122F40}"/>
    <hyperlink ref="E27" r:id="rId98" xr:uid="{1AFE5EFC-BA9B-4AA1-B4B7-2974A6B9BAAE}"/>
    <hyperlink ref="E28" r:id="rId99" xr:uid="{F643A079-1942-4D6D-85A4-53DE5A4CABFC}"/>
    <hyperlink ref="E29" r:id="rId100" xr:uid="{3D3833A1-96DC-4E1E-BCD2-E8D89C6C9A5C}"/>
    <hyperlink ref="E30" r:id="rId101" xr:uid="{817DC527-962F-48B7-81F3-FD71D2D3F7E6}"/>
    <hyperlink ref="E31" r:id="rId102" xr:uid="{4993507C-3FD0-42C0-A364-5770EA36F78E}"/>
    <hyperlink ref="E32:E40" r:id="rId103" display="TOILET MIRROR STICKERS" xr:uid="{FE20D4CF-A7DE-43EE-9BB6-FD08898005C1}"/>
    <hyperlink ref="E41" r:id="rId104" xr:uid="{4F7C38AC-F527-47CC-B962-EB840F64688B}"/>
    <hyperlink ref="E42" r:id="rId105" xr:uid="{1C257809-9260-4350-B106-94AC492DC172}"/>
    <hyperlink ref="E43" r:id="rId106" xr:uid="{6D875577-6113-4923-B5AB-CA2C5A595105}"/>
    <hyperlink ref="E44" r:id="rId107" xr:uid="{8E994FF9-C437-4E9C-95FF-D66BC7D0D6E0}"/>
    <hyperlink ref="E45" r:id="rId108" xr:uid="{A6D03CFD-146C-4264-8564-9DEB1DCCDF28}"/>
    <hyperlink ref="E46" r:id="rId109" xr:uid="{FE7D24FF-FAFA-4D20-A3E5-7AAC34C2E6D0}"/>
    <hyperlink ref="E47" r:id="rId110" xr:uid="{F5C5103F-072F-43DB-AD78-7E7F8538E08A}"/>
    <hyperlink ref="E48" r:id="rId111" xr:uid="{E2AFC201-9739-4DEE-B186-2816FBD101BD}"/>
    <hyperlink ref="E49" r:id="rId112" xr:uid="{B2D0A1C7-7E72-4C45-A356-A556ABC8EF85}"/>
    <hyperlink ref="E50" r:id="rId113" xr:uid="{BB678F5E-5FED-4183-8174-3C7F8D386A50}"/>
    <hyperlink ref="E51" r:id="rId114" xr:uid="{F47DA3ED-504F-45D0-95BA-BB668A1795AC}"/>
    <hyperlink ref="E52" r:id="rId115" xr:uid="{BEEAC821-6D6E-4BE6-B980-9E3457FF918F}"/>
    <hyperlink ref="E54" r:id="rId116" xr:uid="{F2EF1B29-EC1C-47AE-8F00-67214E765A03}"/>
    <hyperlink ref="E53" r:id="rId117" xr:uid="{1A5D88FF-8987-4389-B370-14FB4D6862B0}"/>
    <hyperlink ref="E55" r:id="rId118" xr:uid="{233953E9-90A9-43FA-95A3-C10753077C97}"/>
    <hyperlink ref="E56" r:id="rId119" xr:uid="{D7BCECCD-2C38-4D46-BEAB-713B16CFEBE0}"/>
    <hyperlink ref="E57" r:id="rId120" xr:uid="{56525DE3-8DD8-4AA7-9E13-FBD0D77ACC04}"/>
    <hyperlink ref="E59" r:id="rId121" xr:uid="{8E78FD4B-D120-4D27-B90E-D0B53A4578D6}"/>
    <hyperlink ref="E58" r:id="rId122" xr:uid="{A4513FDB-FAF9-437F-9586-93B5B0B3A067}"/>
    <hyperlink ref="E60" r:id="rId123" xr:uid="{DB2AFF23-A65C-45EB-9979-7F7CB48A7CD3}"/>
    <hyperlink ref="E61" r:id="rId124" xr:uid="{AE48C583-1ACC-41E3-B296-1DBD2C9CCF8C}"/>
    <hyperlink ref="E62" r:id="rId125" xr:uid="{9044AEBC-48E4-4FB3-A0B2-29ACBB1F8D5A}"/>
    <hyperlink ref="E63" r:id="rId126" xr:uid="{D6A01753-09EC-4E8D-8372-BAE8E3B543E7}"/>
    <hyperlink ref="E64" r:id="rId127" xr:uid="{AC24F16D-C60A-4800-8D6D-C1A5BEDB613F}"/>
    <hyperlink ref="E65" r:id="rId128" xr:uid="{B428FCA7-E398-4E28-BA57-5E133E233D92}"/>
    <hyperlink ref="E66" r:id="rId129" xr:uid="{C72E031E-140D-4CA1-BAB7-8C77B06A3654}"/>
    <hyperlink ref="E71" r:id="rId130" xr:uid="{CF411F82-1CD4-46B1-9229-B10788A4CA67}"/>
    <hyperlink ref="E68" r:id="rId131" xr:uid="{7D8ED186-865A-43CC-BA1B-2DB0D27728FD}"/>
    <hyperlink ref="E74" r:id="rId132" xr:uid="{CF56634D-C778-405C-8062-95D699457015}"/>
    <hyperlink ref="E72" r:id="rId133" xr:uid="{75D545DE-BF9C-4C11-9394-E8253E029C34}"/>
    <hyperlink ref="E75" r:id="rId134" xr:uid="{C315DCC0-4FFD-4FC7-A198-43734A60C71B}"/>
    <hyperlink ref="E86" r:id="rId135" xr:uid="{82A541FC-C759-440E-8B75-0269135D08CD}"/>
    <hyperlink ref="E87" r:id="rId136" xr:uid="{B07BB5C6-BF66-40C0-8264-011C82EA6098}"/>
    <hyperlink ref="E88" r:id="rId137" xr:uid="{053E2913-F96D-4040-83D5-191A60AD4C15}"/>
    <hyperlink ref="E89" r:id="rId138" xr:uid="{69B11ADF-69E5-4063-AC67-0E9BB21B301F}"/>
    <hyperlink ref="E119" r:id="rId139" xr:uid="{4A7F197F-3505-4F0E-A941-3DFFA12F99C3}"/>
    <hyperlink ref="E120" r:id="rId140" xr:uid="{5BBE8E16-7E9C-4BAA-AEBA-35B76F1C0F50}"/>
    <hyperlink ref="E141:E142" r:id="rId141" display="FLAG" xr:uid="{7494DA81-C654-4BC9-AC6F-63B07AB8EADC}"/>
    <hyperlink ref="E145:E146" r:id="rId142" display="FLAG" xr:uid="{6DCC7042-2C8F-495E-A887-E32EC83659C5}"/>
    <hyperlink ref="E128" r:id="rId143" xr:uid="{395AD04F-F832-4582-8F12-3DA0A7980FD0}"/>
    <hyperlink ref="E123" r:id="rId144" xr:uid="{8F1B9C56-2FDE-4D98-9E08-658EBB33CAE7}"/>
    <hyperlink ref="E143:E144" r:id="rId145" display="FLAG" xr:uid="{BF3D2497-2DB9-44E4-8954-0A8BF970DED3}"/>
    <hyperlink ref="E167" r:id="rId146" xr:uid="{9D25D506-73C7-45F3-A8D4-CB48C86F7851}"/>
    <hyperlink ref="E158" r:id="rId147" xr:uid="{A4F9195F-93F6-4C22-AE0F-4A573132F03A}"/>
    <hyperlink ref="E96" r:id="rId148" xr:uid="{0ECEB02C-01C0-42BA-83D4-E074D1561F53}"/>
    <hyperlink ref="E97" r:id="rId149" xr:uid="{36750F5D-1017-4DD3-8885-45E881EEBF62}"/>
    <hyperlink ref="E108" r:id="rId150" xr:uid="{6926D475-5B8B-46B1-BD6D-C61B36986FAE}"/>
    <hyperlink ref="E98" r:id="rId151" xr:uid="{D1481738-7397-4F2F-87F4-23E79E37EB4B}"/>
    <hyperlink ref="E99" r:id="rId152" xr:uid="{1972C0CA-15DE-43A2-97A3-9D20019A9F2C}"/>
    <hyperlink ref="E100" r:id="rId153" xr:uid="{EB4C4BCE-FD47-4BA2-894E-C9EC40763670}"/>
    <hyperlink ref="E114" r:id="rId154" xr:uid="{BCC15B52-DBB5-4C04-9DFE-0ABBA5372F4D}"/>
    <hyperlink ref="E103" r:id="rId155" xr:uid="{8365EC88-75F8-4ADF-84FE-229B5ED67E1B}"/>
    <hyperlink ref="E109" r:id="rId156" xr:uid="{6C9F8243-EF01-46D9-87F2-8377AC8F7190}"/>
    <hyperlink ref="E105" r:id="rId157" xr:uid="{8138EAFB-E7BA-4159-9068-AC35314A34FD}"/>
    <hyperlink ref="E101" r:id="rId158" xr:uid="{AB9239F4-0939-464E-A473-1DF19EF2081C}"/>
    <hyperlink ref="E102" r:id="rId159" xr:uid="{B43FCD7F-8A5F-4C98-81FB-231A6CEC4CDF}"/>
    <hyperlink ref="E117" r:id="rId160" xr:uid="{67C8DAAC-48C6-4B4E-A9DE-06C71CBDC933}"/>
    <hyperlink ref="E118" r:id="rId161" xr:uid="{234081A4-5FD0-448D-B2A1-EE7FE7EF1B1A}"/>
    <hyperlink ref="E135" r:id="rId162" xr:uid="{AEFBCC1B-5FBE-441F-BBDC-45895DB0A29A}"/>
    <hyperlink ref="E136" r:id="rId163" xr:uid="{E737D8AD-4E56-4247-8D81-E6B2A91316EB}"/>
    <hyperlink ref="E139:E140" r:id="rId164" display="FLAG" xr:uid="{EF33273E-67B9-497E-A783-ABC2B3AEF4DD}"/>
    <hyperlink ref="E147:E148" r:id="rId165" display="FLAG" xr:uid="{A1879A6E-A498-43E3-88A0-95180A95E2CB}"/>
    <hyperlink ref="E152" r:id="rId166" xr:uid="{72EDC91C-22D6-435C-8E78-F49D7699656E}"/>
    <hyperlink ref="E151" r:id="rId167" xr:uid="{1F94EC24-9589-4387-90A0-D4875BA2F698}"/>
    <hyperlink ref="E131" r:id="rId168" xr:uid="{12279353-C3C4-47D8-BC7C-553056856CF5}"/>
    <hyperlink ref="E132" r:id="rId169" xr:uid="{EDD1C649-B19C-44DD-A828-B51943219F7F}"/>
    <hyperlink ref="E129" r:id="rId170" xr:uid="{DCEE994F-17B6-40AB-9289-5B7208A92A1A}"/>
    <hyperlink ref="E130" r:id="rId171" xr:uid="{F78BAAF0-D977-45CD-BE95-815E74916D3D}"/>
    <hyperlink ref="E124" r:id="rId172" xr:uid="{C0F0D934-A9A3-4F75-B027-380578767B2E}"/>
    <hyperlink ref="E121" r:id="rId173" xr:uid="{F9597071-9CFC-4A1F-84FF-CFE76863A05C}"/>
    <hyperlink ref="E122" r:id="rId174" xr:uid="{6DF4129B-7614-4EED-8A2B-1764E73926DE}"/>
    <hyperlink ref="E110" r:id="rId175" xr:uid="{DE33A22B-EEB2-4E53-B7B6-FB07A392E0BB}"/>
    <hyperlink ref="E111" r:id="rId176" xr:uid="{82C056B9-CABF-4617-90F1-9C64EBBC7CEC}"/>
    <hyperlink ref="E115" r:id="rId177" xr:uid="{5DC12DA9-BE30-4EB6-B5BE-60FEE675E2F5}"/>
    <hyperlink ref="E104" r:id="rId178" xr:uid="{DCF05659-DE0B-4EA9-841D-B615954E9C0D}"/>
    <hyperlink ref="E113" r:id="rId179" xr:uid="{1317510B-8050-48F1-B776-835B8BB1C034}"/>
    <hyperlink ref="E154" r:id="rId180" xr:uid="{77FEED91-88A5-4C42-8D94-F7D9CF53A7F6}"/>
    <hyperlink ref="E153" r:id="rId181" xr:uid="{A1C79DD7-3484-4C44-B039-F69743B0E20C}"/>
    <hyperlink ref="E155:E157" r:id="rId182" display="ELEVATOR DOORS DECORATION - 3 PIECES" xr:uid="{FBCC065D-EBD4-4E9B-A6D1-32A4541F08C2}"/>
    <hyperlink ref="E116" r:id="rId183" xr:uid="{4CEC3957-B950-4CA1-A297-9DAA57102041}"/>
    <hyperlink ref="E112" r:id="rId184" xr:uid="{02015DD4-6F12-434D-BB56-28B24B5C8438}"/>
    <hyperlink ref="E106" r:id="rId185" xr:uid="{C003626C-0868-4209-BC82-E938ADEBBCD4}"/>
    <hyperlink ref="E159:E166" r:id="rId186" display="TOILET MIRROR STICKER" xr:uid="{83D82E53-EC5F-40C0-A0B6-FD3A5D73F672}"/>
  </hyperlinks>
  <pageMargins left="0.23622047244094499" right="0.17" top="0.54" bottom="0.54" header="0.31496062992126" footer="0.31496062992126"/>
  <pageSetup paperSize="9" scale="37" fitToHeight="0" orientation="portrait" r:id="rId187"/>
  <drawing r:id="rId188"/>
  <legacyDrawing r:id="rId1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RATECARD </vt:lpstr>
    </vt:vector>
  </TitlesOfParts>
  <Company>Brand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 DRAGHICI</dc:creator>
  <cp:lastModifiedBy>Paul Draghici</cp:lastModifiedBy>
  <cp:lastPrinted>2011-11-25T09:07:36Z</cp:lastPrinted>
  <dcterms:created xsi:type="dcterms:W3CDTF">2010-05-06T11:10:50Z</dcterms:created>
  <dcterms:modified xsi:type="dcterms:W3CDTF">2021-09-28T13:38:45Z</dcterms:modified>
</cp:coreProperties>
</file>