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tronomy\VariableDetector\"/>
    </mc:Choice>
  </mc:AlternateContent>
  <bookViews>
    <workbookView xWindow="0" yWindow="0" windowWidth="25125" windowHeight="12435" tabRatio="570"/>
  </bookViews>
  <sheets>
    <sheet name="Data" sheetId="13" r:id="rId1"/>
    <sheet name="Calculations" sheetId="1" r:id="rId2"/>
    <sheet name="Conversions" sheetId="23" r:id="rId3"/>
    <sheet name="U Aql" sheetId="20" r:id="rId4"/>
    <sheet name="E7 Region" sheetId="21" r:id="rId5"/>
  </sheets>
  <definedNames>
    <definedName name="del_Cir_seq" localSheetId="2">Conversions!$F$2:$K$11</definedName>
    <definedName name="del_Cir_seq_1" localSheetId="2">Conversions!$F$3:$K$12</definedName>
  </definedNames>
  <calcPr calcId="152511"/>
</workbook>
</file>

<file path=xl/calcChain.xml><?xml version="1.0" encoding="utf-8"?>
<calcChain xmlns="http://schemas.openxmlformats.org/spreadsheetml/2006/main">
  <c r="C68" i="1" l="1"/>
  <c r="C62" i="1" s="1"/>
  <c r="I31" i="1"/>
  <c r="I35" i="1"/>
  <c r="G52" i="1"/>
  <c r="M51" i="23" l="1"/>
  <c r="L51" i="23"/>
  <c r="K51" i="23"/>
  <c r="J51" i="23"/>
  <c r="I51" i="23"/>
  <c r="H51" i="23"/>
  <c r="G51" i="23"/>
  <c r="F51" i="23"/>
  <c r="E51" i="23"/>
  <c r="D51" i="23"/>
  <c r="C51" i="23"/>
  <c r="B51" i="23"/>
  <c r="M50" i="23"/>
  <c r="L50" i="23"/>
  <c r="K50" i="23"/>
  <c r="J50" i="23"/>
  <c r="I50" i="23"/>
  <c r="H50" i="23"/>
  <c r="G50" i="23"/>
  <c r="F50" i="23"/>
  <c r="E50" i="23"/>
  <c r="D50" i="23"/>
  <c r="C50" i="23"/>
  <c r="B50" i="23"/>
  <c r="M49" i="23"/>
  <c r="L49" i="23"/>
  <c r="K49" i="23"/>
  <c r="J49" i="23"/>
  <c r="I49" i="23"/>
  <c r="H49" i="23"/>
  <c r="G49" i="23"/>
  <c r="F49" i="23"/>
  <c r="E49" i="23"/>
  <c r="D49" i="23"/>
  <c r="C49" i="23"/>
  <c r="B49" i="23"/>
  <c r="M48" i="23"/>
  <c r="L48" i="23"/>
  <c r="K48" i="23"/>
  <c r="J48" i="23"/>
  <c r="I48" i="23"/>
  <c r="H48" i="23"/>
  <c r="G48" i="23"/>
  <c r="F48" i="23"/>
  <c r="E48" i="23"/>
  <c r="D48" i="23"/>
  <c r="C48" i="23"/>
  <c r="B48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M46" i="23"/>
  <c r="L46" i="23"/>
  <c r="K46" i="23"/>
  <c r="J46" i="23"/>
  <c r="I46" i="23"/>
  <c r="H46" i="23"/>
  <c r="G46" i="23"/>
  <c r="F46" i="23"/>
  <c r="E46" i="23"/>
  <c r="D46" i="23"/>
  <c r="C46" i="23"/>
  <c r="B46" i="23"/>
  <c r="M45" i="23"/>
  <c r="L45" i="23"/>
  <c r="K45" i="23"/>
  <c r="J45" i="23"/>
  <c r="I45" i="23"/>
  <c r="H45" i="23"/>
  <c r="G45" i="23"/>
  <c r="F45" i="23"/>
  <c r="E45" i="23"/>
  <c r="D45" i="23"/>
  <c r="C45" i="23"/>
  <c r="B45" i="23"/>
  <c r="M44" i="23"/>
  <c r="L44" i="23"/>
  <c r="K44" i="23"/>
  <c r="J44" i="23"/>
  <c r="I44" i="23"/>
  <c r="H44" i="23"/>
  <c r="G44" i="23"/>
  <c r="F44" i="23"/>
  <c r="E44" i="23"/>
  <c r="D44" i="23"/>
  <c r="C44" i="23"/>
  <c r="B44" i="23"/>
  <c r="M43" i="23"/>
  <c r="L43" i="23"/>
  <c r="K43" i="23"/>
  <c r="J43" i="23"/>
  <c r="I43" i="23"/>
  <c r="H43" i="23"/>
  <c r="G43" i="23"/>
  <c r="F43" i="23"/>
  <c r="E43" i="23"/>
  <c r="D43" i="23"/>
  <c r="C43" i="23"/>
  <c r="B43" i="23"/>
  <c r="M42" i="23"/>
  <c r="L42" i="23"/>
  <c r="K42" i="23"/>
  <c r="J42" i="23"/>
  <c r="I42" i="23"/>
  <c r="H42" i="23"/>
  <c r="G42" i="23"/>
  <c r="F42" i="23"/>
  <c r="E42" i="23"/>
  <c r="D42" i="23"/>
  <c r="C42" i="23"/>
  <c r="B42" i="23"/>
  <c r="N38" i="23"/>
  <c r="M38" i="23" s="1"/>
  <c r="J38" i="23"/>
  <c r="N37" i="23"/>
  <c r="M37" i="23" s="1"/>
  <c r="N36" i="23"/>
  <c r="L36" i="23" s="1"/>
  <c r="M36" i="23"/>
  <c r="J36" i="23"/>
  <c r="I36" i="23"/>
  <c r="N35" i="23"/>
  <c r="M35" i="23"/>
  <c r="L35" i="23"/>
  <c r="K35" i="23"/>
  <c r="J35" i="23"/>
  <c r="I35" i="23"/>
  <c r="H35" i="23"/>
  <c r="N34" i="23"/>
  <c r="M34" i="23" s="1"/>
  <c r="L34" i="23"/>
  <c r="K34" i="23"/>
  <c r="J34" i="23"/>
  <c r="H34" i="23"/>
  <c r="N33" i="23"/>
  <c r="M33" i="23" s="1"/>
  <c r="N32" i="23"/>
  <c r="L32" i="23" s="1"/>
  <c r="M32" i="23"/>
  <c r="J32" i="23"/>
  <c r="I32" i="23"/>
  <c r="N31" i="23"/>
  <c r="M31" i="23"/>
  <c r="L31" i="23"/>
  <c r="K31" i="23"/>
  <c r="J31" i="23"/>
  <c r="I31" i="23"/>
  <c r="H31" i="23"/>
  <c r="N30" i="23"/>
  <c r="M30" i="23" s="1"/>
  <c r="L30" i="23"/>
  <c r="K30" i="23"/>
  <c r="J30" i="23"/>
  <c r="H30" i="23"/>
  <c r="N29" i="23"/>
  <c r="M29" i="23" s="1"/>
  <c r="K25" i="23"/>
  <c r="J25" i="23"/>
  <c r="I25" i="23"/>
  <c r="H25" i="23"/>
  <c r="E25" i="23"/>
  <c r="F25" i="23" s="1"/>
  <c r="G25" i="23"/>
  <c r="K24" i="23"/>
  <c r="J24" i="23"/>
  <c r="I24" i="23"/>
  <c r="H24" i="23"/>
  <c r="E24" i="23"/>
  <c r="G24" i="23"/>
  <c r="F24" i="23"/>
  <c r="K23" i="23"/>
  <c r="J23" i="23"/>
  <c r="I23" i="23"/>
  <c r="H23" i="23"/>
  <c r="E23" i="23"/>
  <c r="G23" i="23" s="1"/>
  <c r="F23" i="23"/>
  <c r="K22" i="23"/>
  <c r="J22" i="23"/>
  <c r="I22" i="23"/>
  <c r="H22" i="23"/>
  <c r="E22" i="23"/>
  <c r="G22" i="23" s="1"/>
  <c r="K21" i="23"/>
  <c r="J21" i="23"/>
  <c r="I21" i="23"/>
  <c r="H21" i="23"/>
  <c r="E21" i="23"/>
  <c r="F21" i="23" s="1"/>
  <c r="G21" i="23"/>
  <c r="K20" i="23"/>
  <c r="J20" i="23"/>
  <c r="I20" i="23"/>
  <c r="H20" i="23"/>
  <c r="E20" i="23"/>
  <c r="G20" i="23"/>
  <c r="F20" i="23"/>
  <c r="K19" i="23"/>
  <c r="J19" i="23"/>
  <c r="I19" i="23"/>
  <c r="H19" i="23"/>
  <c r="E19" i="23"/>
  <c r="G19" i="23" s="1"/>
  <c r="F19" i="23"/>
  <c r="K18" i="23"/>
  <c r="J18" i="23"/>
  <c r="I18" i="23"/>
  <c r="H18" i="23"/>
  <c r="E18" i="23"/>
  <c r="G18" i="23" s="1"/>
  <c r="K17" i="23"/>
  <c r="J17" i="23"/>
  <c r="I17" i="23"/>
  <c r="H17" i="23"/>
  <c r="E17" i="23"/>
  <c r="F17" i="23" s="1"/>
  <c r="G17" i="23"/>
  <c r="K16" i="23"/>
  <c r="J16" i="23"/>
  <c r="I16" i="23"/>
  <c r="H16" i="23"/>
  <c r="E16" i="23"/>
  <c r="G16" i="23"/>
  <c r="F16" i="23"/>
  <c r="K12" i="23"/>
  <c r="J12" i="23"/>
  <c r="K11" i="23"/>
  <c r="J11" i="23"/>
  <c r="K10" i="23"/>
  <c r="J10" i="23"/>
  <c r="K9" i="23"/>
  <c r="J9" i="23"/>
  <c r="K8" i="23"/>
  <c r="J8" i="23"/>
  <c r="K7" i="23"/>
  <c r="J7" i="23"/>
  <c r="K6" i="23"/>
  <c r="J6" i="23"/>
  <c r="K5" i="23"/>
  <c r="J5" i="23"/>
  <c r="K4" i="23"/>
  <c r="J4" i="23"/>
  <c r="K3" i="23"/>
  <c r="J3" i="23"/>
  <c r="I26" i="1"/>
  <c r="F68" i="1"/>
  <c r="F69" i="1"/>
  <c r="W69" i="1" s="1"/>
  <c r="F70" i="1"/>
  <c r="F71" i="1"/>
  <c r="F72" i="1"/>
  <c r="L72" i="1" s="1"/>
  <c r="I72" i="1"/>
  <c r="F73" i="1"/>
  <c r="K73" i="1" s="1"/>
  <c r="F74" i="1"/>
  <c r="I74" i="1" s="1"/>
  <c r="F75" i="1"/>
  <c r="G75" i="1" s="1"/>
  <c r="F76" i="1"/>
  <c r="K76" i="1" s="1"/>
  <c r="F77" i="1"/>
  <c r="I77" i="1" s="1"/>
  <c r="F78" i="1"/>
  <c r="I78" i="1" s="1"/>
  <c r="F79" i="1"/>
  <c r="X79" i="1" s="1"/>
  <c r="F80" i="1"/>
  <c r="AH80" i="1" s="1"/>
  <c r="F81" i="1"/>
  <c r="L81" i="1" s="1"/>
  <c r="F82" i="1"/>
  <c r="I82" i="1" s="1"/>
  <c r="F83" i="1"/>
  <c r="AD83" i="1" s="1"/>
  <c r="F84" i="1"/>
  <c r="Z84" i="1" s="1"/>
  <c r="F85" i="1"/>
  <c r="L85" i="1" s="1"/>
  <c r="F86" i="1"/>
  <c r="H86" i="1" s="1"/>
  <c r="F87" i="1"/>
  <c r="J87" i="1" s="1"/>
  <c r="J26" i="1"/>
  <c r="J69" i="1"/>
  <c r="K26" i="1"/>
  <c r="L26" i="1"/>
  <c r="L69" i="1"/>
  <c r="M26" i="1"/>
  <c r="M74" i="1"/>
  <c r="N26" i="1"/>
  <c r="N74" i="1"/>
  <c r="I27" i="1"/>
  <c r="I32" i="1" s="1"/>
  <c r="J27" i="1"/>
  <c r="J32" i="1" s="1"/>
  <c r="K27" i="1"/>
  <c r="K32" i="1" s="1"/>
  <c r="L27" i="1"/>
  <c r="L32" i="1" s="1"/>
  <c r="M27" i="1"/>
  <c r="M32" i="1" s="1"/>
  <c r="N27" i="1"/>
  <c r="N32" i="1" s="1"/>
  <c r="B26" i="1"/>
  <c r="C26" i="1" s="1"/>
  <c r="I25" i="1"/>
  <c r="I29" i="1" s="1"/>
  <c r="B24" i="1"/>
  <c r="W55" i="1"/>
  <c r="B27" i="1"/>
  <c r="D27" i="1" s="1"/>
  <c r="I24" i="1"/>
  <c r="I28" i="1" s="1"/>
  <c r="J25" i="1"/>
  <c r="J29" i="1" s="1"/>
  <c r="J24" i="1"/>
  <c r="J28" i="1" s="1"/>
  <c r="K25" i="1"/>
  <c r="K29" i="1" s="1"/>
  <c r="K24" i="1"/>
  <c r="K28" i="1" s="1"/>
  <c r="L25" i="1"/>
  <c r="L29" i="1" s="1"/>
  <c r="L24" i="1"/>
  <c r="L28" i="1" s="1"/>
  <c r="M25" i="1"/>
  <c r="M29" i="1" s="1"/>
  <c r="M24" i="1"/>
  <c r="M28" i="1" s="1"/>
  <c r="N25" i="1"/>
  <c r="N29" i="1" s="1"/>
  <c r="N24" i="1"/>
  <c r="N28" i="1" s="1"/>
  <c r="E66" i="1"/>
  <c r="C66" i="1"/>
  <c r="E67" i="1"/>
  <c r="C67" i="1"/>
  <c r="C54" i="1"/>
  <c r="C53" i="1"/>
  <c r="E61" i="1"/>
  <c r="E54" i="1"/>
  <c r="E60" i="1"/>
  <c r="E53" i="1"/>
  <c r="C61" i="1"/>
  <c r="C60" i="1"/>
  <c r="G23" i="1"/>
  <c r="H23" i="1"/>
  <c r="H52" i="1" s="1"/>
  <c r="H57" i="1" s="1"/>
  <c r="I23" i="1"/>
  <c r="J23" i="1"/>
  <c r="J52" i="1" s="1"/>
  <c r="J57" i="1" s="1"/>
  <c r="K23" i="1"/>
  <c r="K52" i="1" s="1"/>
  <c r="K57" i="1" s="1"/>
  <c r="L23" i="1"/>
  <c r="L52" i="1" s="1"/>
  <c r="L57" i="1" s="1"/>
  <c r="M23" i="1"/>
  <c r="M65" i="1" s="1"/>
  <c r="N23" i="1"/>
  <c r="N52" i="1" s="1"/>
  <c r="N57" i="1" s="1"/>
  <c r="G24" i="1"/>
  <c r="G28" i="1" s="1"/>
  <c r="G25" i="1"/>
  <c r="G29" i="1" s="1"/>
  <c r="G69" i="1"/>
  <c r="G74" i="1"/>
  <c r="G27" i="1"/>
  <c r="B30" i="1" s="1"/>
  <c r="H24" i="1"/>
  <c r="H28" i="1" s="1"/>
  <c r="H25" i="1"/>
  <c r="H29" i="1" s="1"/>
  <c r="H74" i="1"/>
  <c r="H27" i="1"/>
  <c r="H32" i="1" s="1"/>
  <c r="D56" i="1"/>
  <c r="H26" i="1"/>
  <c r="AH17" i="20"/>
  <c r="AF17" i="20"/>
  <c r="AI16" i="20"/>
  <c r="AH16" i="20"/>
  <c r="AG16" i="20"/>
  <c r="AF16" i="20"/>
  <c r="AE16" i="20"/>
  <c r="AD16" i="20"/>
  <c r="AD15" i="20"/>
  <c r="AF15" i="20"/>
  <c r="AI15" i="20"/>
  <c r="AH15" i="20"/>
  <c r="AG15" i="20"/>
  <c r="AE15" i="20"/>
  <c r="D64" i="1"/>
  <c r="F26" i="1"/>
  <c r="B23" i="1"/>
  <c r="O86" i="1"/>
  <c r="T86" i="1" s="1"/>
  <c r="O83" i="1"/>
  <c r="S83" i="1" s="1"/>
  <c r="A69" i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D82" i="1"/>
  <c r="Z83" i="1"/>
  <c r="AF80" i="1"/>
  <c r="E86" i="1"/>
  <c r="E82" i="1"/>
  <c r="K38" i="23" l="1"/>
  <c r="J29" i="23"/>
  <c r="J37" i="23"/>
  <c r="K29" i="23"/>
  <c r="K33" i="23"/>
  <c r="K37" i="23"/>
  <c r="H38" i="23"/>
  <c r="L38" i="23"/>
  <c r="D85" i="1"/>
  <c r="G76" i="1"/>
  <c r="F18" i="23"/>
  <c r="F22" i="23"/>
  <c r="H29" i="23"/>
  <c r="L29" i="23"/>
  <c r="I30" i="23"/>
  <c r="K32" i="23"/>
  <c r="H33" i="23"/>
  <c r="L33" i="23"/>
  <c r="I34" i="23"/>
  <c r="K36" i="23"/>
  <c r="H37" i="23"/>
  <c r="L37" i="23"/>
  <c r="I38" i="23"/>
  <c r="J33" i="23"/>
  <c r="I29" i="23"/>
  <c r="H32" i="23"/>
  <c r="I33" i="23"/>
  <c r="H36" i="23"/>
  <c r="I37" i="23"/>
  <c r="J44" i="1"/>
  <c r="M72" i="1"/>
  <c r="N83" i="1"/>
  <c r="AA87" i="1"/>
  <c r="G85" i="1"/>
  <c r="AG80" i="1"/>
  <c r="N69" i="1"/>
  <c r="J76" i="1"/>
  <c r="B80" i="1"/>
  <c r="L44" i="1"/>
  <c r="AC86" i="1"/>
  <c r="J65" i="1"/>
  <c r="J86" i="1"/>
  <c r="AD86" i="1"/>
  <c r="AG86" i="1"/>
  <c r="M85" i="1"/>
  <c r="AB81" i="1"/>
  <c r="O87" i="1"/>
  <c r="Q87" i="1" s="1"/>
  <c r="H80" i="1"/>
  <c r="AB80" i="1"/>
  <c r="B81" i="1"/>
  <c r="C87" i="1"/>
  <c r="Z81" i="1"/>
  <c r="K72" i="1"/>
  <c r="E85" i="1"/>
  <c r="W81" i="1"/>
  <c r="H72" i="1"/>
  <c r="AE81" i="1"/>
  <c r="D87" i="1"/>
  <c r="W80" i="1"/>
  <c r="I68" i="1"/>
  <c r="F55" i="1"/>
  <c r="O55" i="1" s="1"/>
  <c r="AB83" i="1"/>
  <c r="AB87" i="1"/>
  <c r="Z87" i="1"/>
  <c r="W72" i="1"/>
  <c r="AH83" i="1"/>
  <c r="C81" i="1"/>
  <c r="D81" i="1"/>
  <c r="Z80" i="1"/>
  <c r="X81" i="1"/>
  <c r="H84" i="1"/>
  <c r="M81" i="1"/>
  <c r="K87" i="1"/>
  <c r="U83" i="1"/>
  <c r="X84" i="1"/>
  <c r="Y81" i="1"/>
  <c r="D80" i="1"/>
  <c r="AF81" i="1"/>
  <c r="X80" i="1"/>
  <c r="V81" i="1"/>
  <c r="N44" i="1"/>
  <c r="W68" i="1"/>
  <c r="H81" i="1"/>
  <c r="G81" i="1"/>
  <c r="M76" i="1"/>
  <c r="E81" i="1"/>
  <c r="AD81" i="1"/>
  <c r="AC81" i="1"/>
  <c r="O81" i="1"/>
  <c r="Q81" i="1" s="1"/>
  <c r="AH81" i="1"/>
  <c r="N80" i="1"/>
  <c r="AA81" i="1"/>
  <c r="R83" i="1"/>
  <c r="W87" i="1"/>
  <c r="AG81" i="1"/>
  <c r="L80" i="1"/>
  <c r="I81" i="1"/>
  <c r="AB84" i="1"/>
  <c r="AA84" i="1"/>
  <c r="L84" i="1"/>
  <c r="AG84" i="1"/>
  <c r="AF83" i="1"/>
  <c r="AA86" i="1"/>
  <c r="Y84" i="1"/>
  <c r="Z85" i="1"/>
  <c r="O80" i="1"/>
  <c r="T80" i="1" s="1"/>
  <c r="N84" i="1"/>
  <c r="M84" i="1"/>
  <c r="L76" i="1"/>
  <c r="J80" i="1"/>
  <c r="I84" i="1"/>
  <c r="AF84" i="1"/>
  <c r="O84" i="1"/>
  <c r="R84" i="1" s="1"/>
  <c r="G84" i="1"/>
  <c r="N76" i="1"/>
  <c r="V84" i="1"/>
  <c r="E83" i="1"/>
  <c r="AE84" i="1"/>
  <c r="E84" i="1"/>
  <c r="AC84" i="1"/>
  <c r="W76" i="1"/>
  <c r="H76" i="1"/>
  <c r="K84" i="1"/>
  <c r="I86" i="1"/>
  <c r="I73" i="1"/>
  <c r="C85" i="1"/>
  <c r="W85" i="1"/>
  <c r="C78" i="1"/>
  <c r="D84" i="1"/>
  <c r="AA78" i="1"/>
  <c r="AD85" i="1"/>
  <c r="V85" i="1"/>
  <c r="K44" i="1"/>
  <c r="W84" i="1"/>
  <c r="L65" i="1"/>
  <c r="AH84" i="1"/>
  <c r="M80" i="1"/>
  <c r="L79" i="1"/>
  <c r="K80" i="1"/>
  <c r="J85" i="1"/>
  <c r="I76" i="1"/>
  <c r="K85" i="1"/>
  <c r="AD78" i="1"/>
  <c r="AE85" i="1"/>
  <c r="X85" i="1"/>
  <c r="AH85" i="1"/>
  <c r="H73" i="1"/>
  <c r="B85" i="1"/>
  <c r="N65" i="1"/>
  <c r="H85" i="1"/>
  <c r="K79" i="1"/>
  <c r="J84" i="1"/>
  <c r="AC85" i="1"/>
  <c r="N73" i="1"/>
  <c r="L73" i="1"/>
  <c r="K78" i="1"/>
  <c r="O70" i="1"/>
  <c r="U70" i="1" s="1"/>
  <c r="C84" i="1"/>
  <c r="AD84" i="1"/>
  <c r="AB85" i="1"/>
  <c r="G32" i="1"/>
  <c r="G73" i="1"/>
  <c r="M73" i="1"/>
  <c r="J79" i="1"/>
  <c r="AB79" i="1"/>
  <c r="AF85" i="1"/>
  <c r="Y85" i="1"/>
  <c r="O85" i="1"/>
  <c r="U85" i="1" s="1"/>
  <c r="J73" i="1"/>
  <c r="C27" i="1"/>
  <c r="B84" i="1"/>
  <c r="AA85" i="1"/>
  <c r="W73" i="1"/>
  <c r="AG85" i="1"/>
  <c r="N85" i="1"/>
  <c r="J78" i="1"/>
  <c r="I85" i="1"/>
  <c r="P80" i="1"/>
  <c r="Y82" i="1"/>
  <c r="W78" i="1"/>
  <c r="K65" i="1"/>
  <c r="H82" i="1"/>
  <c r="H69" i="1"/>
  <c r="G83" i="1"/>
  <c r="M69" i="1"/>
  <c r="L77" i="1"/>
  <c r="K86" i="1"/>
  <c r="J72" i="1"/>
  <c r="Z82" i="1"/>
  <c r="N77" i="1"/>
  <c r="K77" i="1"/>
  <c r="C82" i="1"/>
  <c r="AE80" i="1"/>
  <c r="B78" i="1"/>
  <c r="Z78" i="1"/>
  <c r="Z86" i="1"/>
  <c r="E80" i="1"/>
  <c r="AD80" i="1"/>
  <c r="AC78" i="1"/>
  <c r="V86" i="1"/>
  <c r="X82" i="1"/>
  <c r="W77" i="1"/>
  <c r="O82" i="1"/>
  <c r="H68" i="1"/>
  <c r="G82" i="1"/>
  <c r="G72" i="1"/>
  <c r="M52" i="1"/>
  <c r="M57" i="1" s="1"/>
  <c r="M68" i="1"/>
  <c r="J81" i="1"/>
  <c r="J70" i="1"/>
  <c r="I80" i="1"/>
  <c r="I70" i="1"/>
  <c r="D83" i="1"/>
  <c r="AC80" i="1"/>
  <c r="AE86" i="1"/>
  <c r="V83" i="1"/>
  <c r="Y80" i="1"/>
  <c r="W86" i="1"/>
  <c r="AH82" i="1"/>
  <c r="H77" i="1"/>
  <c r="G80" i="1"/>
  <c r="G68" i="1"/>
  <c r="N72" i="1"/>
  <c r="M77" i="1"/>
  <c r="K81" i="1"/>
  <c r="K69" i="1"/>
  <c r="J68" i="1"/>
  <c r="I69" i="1"/>
  <c r="B82" i="1"/>
  <c r="O77" i="1"/>
  <c r="S77" i="1" s="1"/>
  <c r="G77" i="1"/>
  <c r="K68" i="1"/>
  <c r="C80" i="1"/>
  <c r="AA80" i="1"/>
  <c r="B86" i="1"/>
  <c r="AA82" i="1"/>
  <c r="V80" i="1"/>
  <c r="N81" i="1"/>
  <c r="N68" i="1"/>
  <c r="L68" i="1"/>
  <c r="J77" i="1"/>
  <c r="Q86" i="1"/>
  <c r="P86" i="1"/>
  <c r="U86" i="1"/>
  <c r="R86" i="1"/>
  <c r="S86" i="1"/>
  <c r="I71" i="1"/>
  <c r="N71" i="1"/>
  <c r="M71" i="1"/>
  <c r="J71" i="1"/>
  <c r="K71" i="1"/>
  <c r="L71" i="1"/>
  <c r="W71" i="1"/>
  <c r="G71" i="1"/>
  <c r="O71" i="1"/>
  <c r="H71" i="1"/>
  <c r="I52" i="1"/>
  <c r="I57" i="1" s="1"/>
  <c r="I44" i="1"/>
  <c r="I65" i="1"/>
  <c r="I75" i="1"/>
  <c r="M75" i="1"/>
  <c r="K75" i="1"/>
  <c r="L75" i="1"/>
  <c r="W75" i="1"/>
  <c r="J75" i="1"/>
  <c r="H75" i="1"/>
  <c r="H65" i="1"/>
  <c r="H44" i="1"/>
  <c r="I79" i="1"/>
  <c r="AC79" i="1"/>
  <c r="B79" i="1"/>
  <c r="N79" i="1"/>
  <c r="V79" i="1"/>
  <c r="AE79" i="1"/>
  <c r="M79" i="1"/>
  <c r="G70" i="1"/>
  <c r="N70" i="1"/>
  <c r="M70" i="1"/>
  <c r="L70" i="1"/>
  <c r="AA79" i="1"/>
  <c r="AD87" i="1"/>
  <c r="M44" i="1"/>
  <c r="O78" i="1"/>
  <c r="P83" i="1"/>
  <c r="Q83" i="1"/>
  <c r="T83" i="1"/>
  <c r="G65" i="1"/>
  <c r="G44" i="1"/>
  <c r="G57" i="1"/>
  <c r="N75" i="1"/>
  <c r="L87" i="1"/>
  <c r="I83" i="1"/>
  <c r="M83" i="1"/>
  <c r="X83" i="1"/>
  <c r="AC83" i="1"/>
  <c r="K83" i="1"/>
  <c r="L83" i="1"/>
  <c r="AG83" i="1"/>
  <c r="W83" i="1"/>
  <c r="Y83" i="1"/>
  <c r="B83" i="1"/>
  <c r="C83" i="1"/>
  <c r="J83" i="1"/>
  <c r="H83" i="1"/>
  <c r="AE83" i="1"/>
  <c r="L74" i="1"/>
  <c r="W74" i="1"/>
  <c r="J74" i="1"/>
  <c r="K74" i="1"/>
  <c r="O79" i="1"/>
  <c r="AG79" i="1"/>
  <c r="H79" i="1"/>
  <c r="H70" i="1"/>
  <c r="I87" i="1"/>
  <c r="AE87" i="1"/>
  <c r="AC87" i="1"/>
  <c r="AF87" i="1"/>
  <c r="B87" i="1"/>
  <c r="N87" i="1"/>
  <c r="V87" i="1"/>
  <c r="M87" i="1"/>
  <c r="X78" i="1"/>
  <c r="AF78" i="1"/>
  <c r="G78" i="1"/>
  <c r="AH78" i="1"/>
  <c r="Y78" i="1"/>
  <c r="D78" i="1"/>
  <c r="N78" i="1"/>
  <c r="M78" i="1"/>
  <c r="AB78" i="1"/>
  <c r="E78" i="1"/>
  <c r="L78" i="1"/>
  <c r="E79" i="1"/>
  <c r="V78" i="1"/>
  <c r="AG78" i="1"/>
  <c r="H87" i="1"/>
  <c r="H78" i="1"/>
  <c r="L82" i="1"/>
  <c r="AG82" i="1"/>
  <c r="W82" i="1"/>
  <c r="AE82" i="1"/>
  <c r="J82" i="1"/>
  <c r="K82" i="1"/>
  <c r="AF82" i="1"/>
  <c r="V82" i="1"/>
  <c r="AB82" i="1"/>
  <c r="O76" i="1"/>
  <c r="O72" i="1"/>
  <c r="O68" i="1"/>
  <c r="D79" i="1"/>
  <c r="AF79" i="1"/>
  <c r="Y87" i="1"/>
  <c r="G79" i="1"/>
  <c r="E87" i="1"/>
  <c r="AA83" i="1"/>
  <c r="AD79" i="1"/>
  <c r="AC82" i="1"/>
  <c r="Z79" i="1"/>
  <c r="AD82" i="1"/>
  <c r="X87" i="1"/>
  <c r="W70" i="1"/>
  <c r="O74" i="1"/>
  <c r="AH79" i="1"/>
  <c r="AG87" i="1"/>
  <c r="G87" i="1"/>
  <c r="N82" i="1"/>
  <c r="M82" i="1"/>
  <c r="X86" i="1"/>
  <c r="AF86" i="1"/>
  <c r="N86" i="1"/>
  <c r="G86" i="1"/>
  <c r="AH86" i="1"/>
  <c r="Y86" i="1"/>
  <c r="D86" i="1"/>
  <c r="M86" i="1"/>
  <c r="AB86" i="1"/>
  <c r="C86" i="1"/>
  <c r="L86" i="1"/>
  <c r="O73" i="1"/>
  <c r="C79" i="1"/>
  <c r="AE78" i="1"/>
  <c r="Y79" i="1"/>
  <c r="W79" i="1"/>
  <c r="O69" i="1"/>
  <c r="O75" i="1"/>
  <c r="AH87" i="1"/>
  <c r="K70" i="1"/>
  <c r="R87" i="1" l="1"/>
  <c r="T87" i="1"/>
  <c r="S87" i="1"/>
  <c r="P87" i="1"/>
  <c r="U87" i="1"/>
  <c r="U77" i="1"/>
  <c r="U80" i="1"/>
  <c r="T81" i="1"/>
  <c r="U81" i="1"/>
  <c r="S81" i="1"/>
  <c r="P81" i="1"/>
  <c r="R81" i="1"/>
  <c r="S70" i="1"/>
  <c r="R77" i="1"/>
  <c r="Q80" i="1"/>
  <c r="R80" i="1"/>
  <c r="S80" i="1"/>
  <c r="AG76" i="1"/>
  <c r="AH73" i="1"/>
  <c r="U84" i="1"/>
  <c r="S84" i="1"/>
  <c r="S85" i="1"/>
  <c r="P84" i="1"/>
  <c r="Q84" i="1"/>
  <c r="R85" i="1"/>
  <c r="T84" i="1"/>
  <c r="AG73" i="1"/>
  <c r="R70" i="1"/>
  <c r="P70" i="1"/>
  <c r="T70" i="1"/>
  <c r="AH77" i="1"/>
  <c r="AH76" i="1"/>
  <c r="B31" i="1"/>
  <c r="B32" i="1" s="1"/>
  <c r="Q70" i="1"/>
  <c r="P85" i="1"/>
  <c r="T85" i="1"/>
  <c r="Q85" i="1"/>
  <c r="AG69" i="1"/>
  <c r="AH72" i="1"/>
  <c r="I55" i="1"/>
  <c r="AG72" i="1"/>
  <c r="AH68" i="1"/>
  <c r="AG68" i="1"/>
  <c r="AG75" i="1"/>
  <c r="AH69" i="1"/>
  <c r="AH71" i="1"/>
  <c r="AH74" i="1"/>
  <c r="I56" i="1"/>
  <c r="Q77" i="1"/>
  <c r="T77" i="1"/>
  <c r="H55" i="1"/>
  <c r="H35" i="1" s="1"/>
  <c r="P77" i="1"/>
  <c r="AG77" i="1"/>
  <c r="R82" i="1"/>
  <c r="S82" i="1"/>
  <c r="Q82" i="1"/>
  <c r="P82" i="1"/>
  <c r="U82" i="1"/>
  <c r="T82" i="1"/>
  <c r="L56" i="1"/>
  <c r="AG71" i="1"/>
  <c r="P68" i="1"/>
  <c r="U68" i="1"/>
  <c r="S68" i="1"/>
  <c r="R68" i="1"/>
  <c r="Q68" i="1"/>
  <c r="T68" i="1"/>
  <c r="U75" i="1"/>
  <c r="S75" i="1"/>
  <c r="Q75" i="1"/>
  <c r="T75" i="1"/>
  <c r="P75" i="1"/>
  <c r="R75" i="1"/>
  <c r="K56" i="1"/>
  <c r="K55" i="1"/>
  <c r="K35" i="1" s="1"/>
  <c r="AG74" i="1"/>
  <c r="AH70" i="1"/>
  <c r="AG70" i="1"/>
  <c r="G56" i="1"/>
  <c r="T55" i="1"/>
  <c r="P55" i="1"/>
  <c r="S55" i="1"/>
  <c r="Q55" i="1"/>
  <c r="R55" i="1"/>
  <c r="U55" i="1"/>
  <c r="L55" i="1"/>
  <c r="L35" i="1" s="1"/>
  <c r="J55" i="1"/>
  <c r="J35" i="1" s="1"/>
  <c r="H56" i="1"/>
  <c r="U78" i="1"/>
  <c r="Q78" i="1"/>
  <c r="S78" i="1"/>
  <c r="T78" i="1"/>
  <c r="R78" i="1"/>
  <c r="P78" i="1"/>
  <c r="U71" i="1"/>
  <c r="R71" i="1"/>
  <c r="P71" i="1"/>
  <c r="T71" i="1"/>
  <c r="Q71" i="1"/>
  <c r="S71" i="1"/>
  <c r="M55" i="1"/>
  <c r="M35" i="1" s="1"/>
  <c r="M56" i="1"/>
  <c r="U69" i="1"/>
  <c r="R69" i="1"/>
  <c r="Q69" i="1"/>
  <c r="P69" i="1"/>
  <c r="S69" i="1"/>
  <c r="T69" i="1"/>
  <c r="U76" i="1"/>
  <c r="T76" i="1"/>
  <c r="Q76" i="1"/>
  <c r="R76" i="1"/>
  <c r="P76" i="1"/>
  <c r="S76" i="1"/>
  <c r="S79" i="1"/>
  <c r="U79" i="1"/>
  <c r="T79" i="1"/>
  <c r="P79" i="1"/>
  <c r="Q79" i="1"/>
  <c r="R79" i="1"/>
  <c r="N55" i="1"/>
  <c r="N35" i="1" s="1"/>
  <c r="N56" i="1"/>
  <c r="AH75" i="1"/>
  <c r="S74" i="1"/>
  <c r="U74" i="1"/>
  <c r="P74" i="1"/>
  <c r="T74" i="1"/>
  <c r="Q74" i="1"/>
  <c r="R74" i="1"/>
  <c r="R73" i="1"/>
  <c r="P73" i="1"/>
  <c r="U73" i="1"/>
  <c r="S73" i="1"/>
  <c r="T73" i="1"/>
  <c r="Q73" i="1"/>
  <c r="G55" i="1"/>
  <c r="S72" i="1"/>
  <c r="U72" i="1"/>
  <c r="Q72" i="1"/>
  <c r="P72" i="1"/>
  <c r="T72" i="1"/>
  <c r="R72" i="1"/>
  <c r="J56" i="1"/>
  <c r="V77" i="1" l="1"/>
  <c r="X77" i="1" s="1"/>
  <c r="Y77" i="1" s="1"/>
  <c r="Z77" i="1" s="1"/>
  <c r="AA77" i="1" s="1"/>
  <c r="AB77" i="1" s="1"/>
  <c r="AC77" i="1" s="1"/>
  <c r="B77" i="1" s="1"/>
  <c r="V70" i="1"/>
  <c r="X70" i="1" s="1"/>
  <c r="Y70" i="1" s="1"/>
  <c r="Z70" i="1" s="1"/>
  <c r="AD70" i="1" s="1"/>
  <c r="AE70" i="1" s="1"/>
  <c r="AF70" i="1" s="1"/>
  <c r="D70" i="1" s="1"/>
  <c r="V74" i="1"/>
  <c r="X74" i="1" s="1"/>
  <c r="Y74" i="1" s="1"/>
  <c r="Z74" i="1" s="1"/>
  <c r="AD74" i="1" s="1"/>
  <c r="AE74" i="1" s="1"/>
  <c r="AF74" i="1" s="1"/>
  <c r="D74" i="1" s="1"/>
  <c r="AG55" i="1"/>
  <c r="V68" i="1"/>
  <c r="X68" i="1" s="1"/>
  <c r="Y68" i="1" s="1"/>
  <c r="Z68" i="1" s="1"/>
  <c r="AH55" i="1"/>
  <c r="V69" i="1"/>
  <c r="X69" i="1" s="1"/>
  <c r="Y69" i="1" s="1"/>
  <c r="Z69" i="1" s="1"/>
  <c r="V76" i="1"/>
  <c r="X76" i="1" s="1"/>
  <c r="Y76" i="1" s="1"/>
  <c r="Z76" i="1" s="1"/>
  <c r="V71" i="1"/>
  <c r="X71" i="1" s="1"/>
  <c r="Y71" i="1" s="1"/>
  <c r="Z71" i="1" s="1"/>
  <c r="V55" i="1"/>
  <c r="X55" i="1" s="1"/>
  <c r="Y55" i="1" s="1"/>
  <c r="Z55" i="1" s="1"/>
  <c r="J39" i="1" a="1"/>
  <c r="V75" i="1"/>
  <c r="X75" i="1" s="1"/>
  <c r="Y75" i="1" s="1"/>
  <c r="Z75" i="1" s="1"/>
  <c r="V72" i="1"/>
  <c r="X72" i="1" s="1"/>
  <c r="Y72" i="1" s="1"/>
  <c r="Z72" i="1" s="1"/>
  <c r="V73" i="1"/>
  <c r="X73" i="1" s="1"/>
  <c r="Y73" i="1" s="1"/>
  <c r="Z73" i="1" s="1"/>
  <c r="AD77" i="1" l="1"/>
  <c r="AE77" i="1" s="1"/>
  <c r="AF77" i="1" s="1"/>
  <c r="D77" i="1" s="1"/>
  <c r="AA70" i="1"/>
  <c r="AB70" i="1" s="1"/>
  <c r="AC70" i="1" s="1"/>
  <c r="B70" i="1" s="1"/>
  <c r="AA74" i="1"/>
  <c r="AB74" i="1" s="1"/>
  <c r="AC74" i="1" s="1"/>
  <c r="B74" i="1" s="1"/>
  <c r="K40" i="1"/>
  <c r="J40" i="1"/>
  <c r="J39" i="1"/>
  <c r="K39" i="1"/>
  <c r="AA73" i="1"/>
  <c r="AB73" i="1" s="1"/>
  <c r="AC73" i="1" s="1"/>
  <c r="B73" i="1" s="1"/>
  <c r="AD73" i="1"/>
  <c r="AE73" i="1" s="1"/>
  <c r="AF73" i="1" s="1"/>
  <c r="D73" i="1" s="1"/>
  <c r="AD68" i="1"/>
  <c r="AE68" i="1" s="1"/>
  <c r="AF68" i="1" s="1"/>
  <c r="D68" i="1" s="1"/>
  <c r="AA68" i="1"/>
  <c r="AB68" i="1" s="1"/>
  <c r="AC68" i="1" s="1"/>
  <c r="B68" i="1" s="1"/>
  <c r="I30" i="1"/>
  <c r="I33" i="1" s="1"/>
  <c r="H30" i="1"/>
  <c r="H31" i="1" s="1"/>
  <c r="H33" i="1" s="1"/>
  <c r="H34" i="1" s="1"/>
  <c r="N30" i="1"/>
  <c r="N31" i="1" s="1"/>
  <c r="N33" i="1" s="1"/>
  <c r="N34" i="1" s="1"/>
  <c r="J30" i="1"/>
  <c r="J31" i="1" s="1"/>
  <c r="J33" i="1" s="1"/>
  <c r="J34" i="1" s="1"/>
  <c r="M30" i="1"/>
  <c r="M31" i="1" s="1"/>
  <c r="M33" i="1" s="1"/>
  <c r="M34" i="1" s="1"/>
  <c r="AA55" i="1"/>
  <c r="AB55" i="1" s="1"/>
  <c r="AC55" i="1" s="1"/>
  <c r="B55" i="1" s="1"/>
  <c r="L30" i="1"/>
  <c r="L31" i="1" s="1"/>
  <c r="L33" i="1" s="1"/>
  <c r="L34" i="1" s="1"/>
  <c r="K30" i="1"/>
  <c r="K31" i="1" s="1"/>
  <c r="K33" i="1" s="1"/>
  <c r="K34" i="1" s="1"/>
  <c r="AD55" i="1"/>
  <c r="AE55" i="1" s="1"/>
  <c r="AF55" i="1" s="1"/>
  <c r="D55" i="1" s="1"/>
  <c r="G30" i="1"/>
  <c r="G31" i="1" s="1"/>
  <c r="G33" i="1" s="1"/>
  <c r="AA75" i="1"/>
  <c r="AB75" i="1" s="1"/>
  <c r="AC75" i="1" s="1"/>
  <c r="B75" i="1" s="1"/>
  <c r="AD75" i="1"/>
  <c r="AE75" i="1" s="1"/>
  <c r="AF75" i="1" s="1"/>
  <c r="D75" i="1" s="1"/>
  <c r="AA71" i="1"/>
  <c r="AB71" i="1" s="1"/>
  <c r="AC71" i="1" s="1"/>
  <c r="B71" i="1" s="1"/>
  <c r="AD71" i="1"/>
  <c r="AE71" i="1" s="1"/>
  <c r="AF71" i="1" s="1"/>
  <c r="D71" i="1" s="1"/>
  <c r="AD76" i="1"/>
  <c r="AE76" i="1" s="1"/>
  <c r="AF76" i="1" s="1"/>
  <c r="D76" i="1" s="1"/>
  <c r="AA76" i="1"/>
  <c r="AB76" i="1" s="1"/>
  <c r="AC76" i="1" s="1"/>
  <c r="B76" i="1" s="1"/>
  <c r="AA72" i="1"/>
  <c r="AB72" i="1" s="1"/>
  <c r="AC72" i="1" s="1"/>
  <c r="B72" i="1" s="1"/>
  <c r="AD72" i="1"/>
  <c r="AE72" i="1" s="1"/>
  <c r="AF72" i="1" s="1"/>
  <c r="D72" i="1" s="1"/>
  <c r="AA69" i="1"/>
  <c r="AB69" i="1" s="1"/>
  <c r="AC69" i="1" s="1"/>
  <c r="B69" i="1" s="1"/>
  <c r="AD69" i="1"/>
  <c r="AE69" i="1" s="1"/>
  <c r="AF69" i="1" s="1"/>
  <c r="D69" i="1" s="1"/>
  <c r="E33" i="1" l="1"/>
  <c r="K36" i="1"/>
  <c r="G36" i="1"/>
  <c r="I36" i="1"/>
  <c r="N36" i="1"/>
  <c r="H36" i="1"/>
  <c r="L36" i="1"/>
  <c r="G34" i="1"/>
  <c r="M36" i="1"/>
  <c r="I50" i="1"/>
  <c r="J36" i="1"/>
  <c r="G39" i="1" a="1"/>
  <c r="I34" i="1"/>
  <c r="H39" i="1" l="1"/>
  <c r="M39" i="1" s="1"/>
  <c r="I39" i="1"/>
  <c r="N39" i="1" s="1"/>
  <c r="I40" i="1"/>
  <c r="G40" i="1"/>
  <c r="G39" i="1"/>
  <c r="L39" i="1" s="1"/>
  <c r="H40" i="1"/>
  <c r="E55" i="1" l="1"/>
  <c r="E56" i="1" s="1"/>
  <c r="G45" i="1"/>
  <c r="E76" i="1"/>
  <c r="E75" i="1"/>
  <c r="E72" i="1"/>
  <c r="E73" i="1"/>
  <c r="J45" i="1"/>
  <c r="J46" i="1" s="1"/>
  <c r="J47" i="1" s="1"/>
  <c r="C72" i="1"/>
  <c r="C74" i="1"/>
  <c r="H45" i="1"/>
  <c r="C76" i="1"/>
  <c r="C75" i="1"/>
  <c r="E77" i="1"/>
  <c r="E69" i="1"/>
  <c r="C71" i="1"/>
  <c r="I45" i="1"/>
  <c r="I46" i="1" s="1"/>
  <c r="I47" i="1" s="1"/>
  <c r="C77" i="1"/>
  <c r="C70" i="1"/>
  <c r="C73" i="1"/>
  <c r="K45" i="1"/>
  <c r="K46" i="1" s="1"/>
  <c r="K47" i="1" s="1"/>
  <c r="E70" i="1"/>
  <c r="L45" i="1"/>
  <c r="L46" i="1" s="1"/>
  <c r="L47" i="1" s="1"/>
  <c r="E74" i="1"/>
  <c r="N45" i="1"/>
  <c r="N46" i="1" s="1"/>
  <c r="N47" i="1" s="1"/>
  <c r="C55" i="1"/>
  <c r="E68" i="1"/>
  <c r="M45" i="1"/>
  <c r="M46" i="1" s="1"/>
  <c r="M47" i="1" s="1"/>
  <c r="E71" i="1"/>
  <c r="C69" i="1"/>
  <c r="E63" i="1" l="1"/>
  <c r="E62" i="1"/>
  <c r="E64" i="1" s="1"/>
  <c r="C63" i="1"/>
  <c r="I49" i="1"/>
  <c r="H46" i="1"/>
  <c r="H47" i="1" s="1"/>
  <c r="I48" i="1" s="1"/>
</calcChain>
</file>

<file path=xl/connections.xml><?xml version="1.0" encoding="utf-8"?>
<connections xmlns="http://schemas.openxmlformats.org/spreadsheetml/2006/main">
  <connection id="1" name="del_Cir_seq" type="6" refreshedVersion="4" deleted="1" background="1" saveData="1">
    <textPr codePage="1250" sourceFile="C:\Users\Mark Blackford\Downloads\del_Cir_seq.txt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<sst xmlns="http://schemas.openxmlformats.org/spreadsheetml/2006/main" count="480" uniqueCount="164">
  <si>
    <t>Observation Information</t>
  </si>
  <si>
    <t>Observer</t>
  </si>
  <si>
    <t>Observatory</t>
  </si>
  <si>
    <t>Coordinates (deg)</t>
  </si>
  <si>
    <t>Coordinates (rad)</t>
  </si>
  <si>
    <t>hours</t>
  </si>
  <si>
    <t>Note</t>
  </si>
  <si>
    <t>Latitude</t>
  </si>
  <si>
    <t>Longitude</t>
  </si>
  <si>
    <t>East: +, West: -</t>
  </si>
  <si>
    <t>Star</t>
  </si>
  <si>
    <t>RA (deg)</t>
  </si>
  <si>
    <t>DEC (deg)</t>
  </si>
  <si>
    <t>V Cat</t>
  </si>
  <si>
    <t>(B - V) Cat</t>
  </si>
  <si>
    <t>X (Air mass)</t>
  </si>
  <si>
    <t>X*(B-V)</t>
  </si>
  <si>
    <t>D Cat</t>
  </si>
  <si>
    <t>RA (rad)</t>
  </si>
  <si>
    <t>DEC (rad)</t>
  </si>
  <si>
    <t>HA (rad)</t>
  </si>
  <si>
    <t>cos(z_a)</t>
  </si>
  <si>
    <t>Selected Regression Result</t>
  </si>
  <si>
    <t>Ex Coefficent</t>
  </si>
  <si>
    <t>Tx Coefficent</t>
  </si>
  <si>
    <t>Zero Point</t>
  </si>
  <si>
    <t>Value</t>
  </si>
  <si>
    <t>Error</t>
  </si>
  <si>
    <t xml:space="preserve">Comp Star </t>
  </si>
  <si>
    <t>Fit Value</t>
  </si>
  <si>
    <t>comparison stars fit error (max)</t>
  </si>
  <si>
    <t>check star mag error</t>
  </si>
  <si>
    <t>Air mass plausibility check</t>
  </si>
  <si>
    <t>Helper Table</t>
  </si>
  <si>
    <t>Air Mass</t>
  </si>
  <si>
    <t>GMST</t>
  </si>
  <si>
    <t>LST</t>
  </si>
  <si>
    <t>JD</t>
  </si>
  <si>
    <t>Epoch 2010</t>
  </si>
  <si>
    <t>Radians</t>
  </si>
  <si>
    <t>a</t>
  </si>
  <si>
    <t>b</t>
  </si>
  <si>
    <t>c</t>
  </si>
  <si>
    <t>d</t>
  </si>
  <si>
    <t>e</t>
  </si>
  <si>
    <t>f</t>
  </si>
  <si>
    <t>Mark Blackford</t>
  </si>
  <si>
    <t>North: +, South: -</t>
  </si>
  <si>
    <t>Image</t>
  </si>
  <si>
    <t>Stdev</t>
  </si>
  <si>
    <t>average</t>
  </si>
  <si>
    <t>Check</t>
  </si>
  <si>
    <t>Target</t>
  </si>
  <si>
    <t>Star Calibration Data</t>
  </si>
  <si>
    <t>Star ID</t>
  </si>
  <si>
    <t>Instrumental Magnitudes</t>
  </si>
  <si>
    <t>Year</t>
  </si>
  <si>
    <t>Month</t>
  </si>
  <si>
    <t>Day</t>
  </si>
  <si>
    <t>Hr</t>
  </si>
  <si>
    <t>Min</t>
  </si>
  <si>
    <t>Sec</t>
  </si>
  <si>
    <t>JD(0:00)</t>
  </si>
  <si>
    <t>Comp 1</t>
  </si>
  <si>
    <t>Comp 2</t>
  </si>
  <si>
    <t>Comp 3</t>
  </si>
  <si>
    <t>Comp 4</t>
  </si>
  <si>
    <t>Comp 5</t>
  </si>
  <si>
    <t>Comp 6</t>
  </si>
  <si>
    <t>UT Date and Time</t>
  </si>
  <si>
    <t>Residual</t>
  </si>
  <si>
    <t>Constants</t>
  </si>
  <si>
    <t>Quality Check</t>
  </si>
  <si>
    <t>No.</t>
  </si>
  <si>
    <t>Individual Image Data</t>
  </si>
  <si>
    <t>Regression calculations</t>
  </si>
  <si>
    <t>Time Zone correction</t>
  </si>
  <si>
    <t>JD - TZC</t>
  </si>
  <si>
    <t>stdev</t>
  </si>
  <si>
    <t>Corrections</t>
  </si>
  <si>
    <t>ABS(Residual)</t>
  </si>
  <si>
    <t>1 = Transformation (Tx)</t>
  </si>
  <si>
    <t>2=Tx &amp; Extinction (Ex)</t>
  </si>
  <si>
    <t>0 = None</t>
  </si>
  <si>
    <t>Planar Fit  with Extinction</t>
  </si>
  <si>
    <t>Linear Fit without Extinction</t>
  </si>
  <si>
    <t>Blue Channel Instrumental Magnitudes</t>
  </si>
  <si>
    <t>Red Channel Instrumental Magnitudes</t>
  </si>
  <si>
    <t>Green Channel Instrumental Magnitudes</t>
  </si>
  <si>
    <t>(V - R) Cat</t>
  </si>
  <si>
    <t>1 = B</t>
  </si>
  <si>
    <t>2 = V</t>
  </si>
  <si>
    <t>3 = R</t>
  </si>
  <si>
    <t>(B-V) Calculated</t>
  </si>
  <si>
    <t>(B-V) Cat - (B-V) Calc</t>
  </si>
  <si>
    <t>Target (B-V)</t>
  </si>
  <si>
    <t>(B-V) Catalog</t>
  </si>
  <si>
    <t>U Aql</t>
  </si>
  <si>
    <t>HD 183658 (73)</t>
  </si>
  <si>
    <t>HD 184573 (63)</t>
  </si>
  <si>
    <t>HD 183593</t>
  </si>
  <si>
    <t>HD 181858 (67)</t>
  </si>
  <si>
    <t>HD 182038</t>
  </si>
  <si>
    <t>HD 182246</t>
  </si>
  <si>
    <t>HD 183061</t>
  </si>
  <si>
    <t>HD 157487</t>
  </si>
  <si>
    <t>HD 157316</t>
  </si>
  <si>
    <t>HD 159707</t>
  </si>
  <si>
    <t>HD 156236</t>
  </si>
  <si>
    <t>HD 156623</t>
  </si>
  <si>
    <t>HD 157795</t>
  </si>
  <si>
    <t>HD 159384</t>
  </si>
  <si>
    <t>HD 156398</t>
  </si>
  <si>
    <t>X(Tgt) - X(star)</t>
  </si>
  <si>
    <t>RA</t>
  </si>
  <si>
    <t>North +</t>
  </si>
  <si>
    <t>Dec</t>
  </si>
  <si>
    <t>Decimal</t>
  </si>
  <si>
    <t>South -</t>
  </si>
  <si>
    <t>Deg</t>
  </si>
  <si>
    <t>-</t>
  </si>
  <si>
    <t>to RA and Dec</t>
  </si>
  <si>
    <t>Convert decimal coordinates</t>
  </si>
  <si>
    <t>Convert RA and Dec</t>
  </si>
  <si>
    <t>to decimal coordinates</t>
  </si>
  <si>
    <t>BMGA MaxIm DL</t>
  </si>
  <si>
    <t>YYYY</t>
  </si>
  <si>
    <t>MM</t>
  </si>
  <si>
    <t>DD</t>
  </si>
  <si>
    <t>H</t>
  </si>
  <si>
    <t>M</t>
  </si>
  <si>
    <t>S</t>
  </si>
  <si>
    <t>Julian Date</t>
  </si>
  <si>
    <t>Universal Time (UT)</t>
  </si>
  <si>
    <t>(JD)</t>
  </si>
  <si>
    <t>Local Time (UT)</t>
  </si>
  <si>
    <t>Time zone</t>
  </si>
  <si>
    <t>Convert Local Time</t>
  </si>
  <si>
    <t>to UT &amp; JD</t>
  </si>
  <si>
    <t>to UT &amp; Local Time</t>
  </si>
  <si>
    <t>Convert JD</t>
  </si>
  <si>
    <t>Average Image Data</t>
  </si>
  <si>
    <t>delta X</t>
  </si>
  <si>
    <t>green</t>
  </si>
  <si>
    <t>red</t>
  </si>
  <si>
    <t>A45 = 0</t>
  </si>
  <si>
    <t>A45 = 1</t>
  </si>
  <si>
    <t>A45 = 2</t>
  </si>
  <si>
    <t>target</t>
  </si>
  <si>
    <t>check</t>
  </si>
  <si>
    <t>blue</t>
  </si>
  <si>
    <t>delta (0 - 1)</t>
  </si>
  <si>
    <t>A45=1, A50=2</t>
  </si>
  <si>
    <t>A45=1, A50=1</t>
  </si>
  <si>
    <t>A45=1, A50=3</t>
  </si>
  <si>
    <t>delta (1 - 2)</t>
  </si>
  <si>
    <t>Greenwich Mean Sidereal Time</t>
  </si>
  <si>
    <t>Local Sidereal Time</t>
  </si>
  <si>
    <t>no correction</t>
  </si>
  <si>
    <t xml:space="preserve"> Filter</t>
  </si>
  <si>
    <t>Photometry</t>
  </si>
  <si>
    <t>shift+Ctrl+enter</t>
  </si>
  <si>
    <t>instr. (b-v)</t>
  </si>
  <si>
    <t>Max delta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</si>
</sst>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"/>
    <numFmt numFmtId="165" formatCode="0.000"/>
    <numFmt numFmtId="166" formatCode="yyyy\-mm\-dd"/>
    <numFmt numFmtId="167" formatCode="hh:mm:ss"/>
    <numFmt numFmtId="168" formatCode="#,##0.0"/>
    <numFmt numFmtId="169" formatCode="0.000000"/>
    <numFmt numFmtId="170" formatCode="0.000000000"/>
    <numFmt numFmtId="171" formatCode="0.00000"/>
    <numFmt numFmtId="172" formatCode="0.0"/>
    <numFmt numFmtId="173" formatCode="0.0000000"/>
    <numFmt numFmtId="174" formatCode="0.00000000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10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theme="9" tint="0.39997558519241921"/>
        <bgColor indexed="5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31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7" fillId="0" borderId="0" applyFill="0" applyBorder="0" applyAlignment="0" applyProtection="0"/>
    <xf numFmtId="0" fontId="7" fillId="2" borderId="0" applyNumberFormat="0" applyBorder="0" applyAlignment="0" applyProtection="0"/>
    <xf numFmtId="0" fontId="1" fillId="0" borderId="0"/>
    <xf numFmtId="0" fontId="7" fillId="0" borderId="0"/>
  </cellStyleXfs>
  <cellXfs count="397">
    <xf numFmtId="0" fontId="0" fillId="0" borderId="0" xfId="0"/>
    <xf numFmtId="0" fontId="4" fillId="0" borderId="0" xfId="1" applyNumberFormat="1" applyFont="1" applyFill="1" applyBorder="1" applyAlignment="1" applyProtection="1">
      <alignment horizontal="left"/>
    </xf>
    <xf numFmtId="0" fontId="0" fillId="0" borderId="0" xfId="0" applyBorder="1"/>
    <xf numFmtId="165" fontId="0" fillId="0" borderId="0" xfId="0" applyNumberFormat="1" applyFill="1" applyBorder="1"/>
    <xf numFmtId="165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4" fillId="0" borderId="0" xfId="0" applyNumberFormat="1" applyFont="1" applyFill="1" applyBorder="1"/>
    <xf numFmtId="165" fontId="0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/>
    <xf numFmtId="168" fontId="6" fillId="0" borderId="0" xfId="0" applyNumberFormat="1" applyFont="1" applyBorder="1"/>
    <xf numFmtId="0" fontId="0" fillId="0" borderId="0" xfId="0" applyFont="1" applyBorder="1"/>
    <xf numFmtId="166" fontId="0" fillId="0" borderId="0" xfId="1" applyNumberFormat="1" applyFont="1" applyFill="1" applyBorder="1" applyAlignment="1" applyProtection="1"/>
    <xf numFmtId="167" fontId="0" fillId="0" borderId="0" xfId="1" applyNumberFormat="1" applyFont="1" applyFill="1" applyBorder="1" applyAlignment="1" applyProtection="1"/>
    <xf numFmtId="165" fontId="0" fillId="0" borderId="0" xfId="1" applyNumberFormat="1" applyFont="1" applyFill="1" applyBorder="1" applyAlignment="1" applyProtection="1">
      <alignment horizontal="center"/>
    </xf>
    <xf numFmtId="0" fontId="3" fillId="0" borderId="0" xfId="0" applyFont="1" applyFill="1" applyBorder="1"/>
    <xf numFmtId="0" fontId="4" fillId="0" borderId="0" xfId="0" applyFont="1" applyBorder="1"/>
    <xf numFmtId="165" fontId="4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0" applyFont="1" applyBorder="1" applyAlignment="1" applyProtection="1">
      <alignment horizontal="center"/>
    </xf>
    <xf numFmtId="0" fontId="5" fillId="0" borderId="0" xfId="0" applyFont="1" applyFill="1" applyBorder="1"/>
    <xf numFmtId="0" fontId="0" fillId="0" borderId="0" xfId="0" applyFont="1" applyFill="1" applyBorder="1" applyProtection="1"/>
    <xf numFmtId="0" fontId="0" fillId="0" borderId="0" xfId="0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0" fillId="0" borderId="0" xfId="1" applyNumberFormat="1" applyFont="1" applyFill="1" applyBorder="1" applyAlignment="1" applyProtection="1">
      <alignment wrapText="1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0" fillId="0" borderId="10" xfId="0" applyBorder="1"/>
    <xf numFmtId="165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21" fontId="4" fillId="0" borderId="0" xfId="1" applyNumberFormat="1" applyFont="1" applyFill="1" applyBorder="1" applyAlignment="1" applyProtection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5" fontId="0" fillId="0" borderId="0" xfId="0" applyNumberFormat="1" applyFont="1" applyBorder="1" applyAlignment="1" applyProtection="1">
      <alignment horizontal="center"/>
    </xf>
    <xf numFmtId="169" fontId="0" fillId="0" borderId="0" xfId="0" applyNumberFormat="1" applyBorder="1" applyAlignment="1">
      <alignment horizontal="center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8" xfId="0" applyBorder="1"/>
    <xf numFmtId="0" fontId="0" fillId="0" borderId="5" xfId="0" applyBorder="1"/>
    <xf numFmtId="0" fontId="4" fillId="0" borderId="5" xfId="0" applyFont="1" applyBorder="1" applyAlignment="1">
      <alignment horizontal="center"/>
    </xf>
    <xf numFmtId="165" fontId="0" fillId="0" borderId="11" xfId="0" applyNumberFormat="1" applyFont="1" applyBorder="1" applyAlignment="1" applyProtection="1">
      <alignment horizontal="center"/>
    </xf>
    <xf numFmtId="165" fontId="0" fillId="0" borderId="3" xfId="0" applyNumberFormat="1" applyFont="1" applyBorder="1" applyAlignment="1" applyProtection="1">
      <alignment horizontal="center"/>
    </xf>
    <xf numFmtId="165" fontId="0" fillId="0" borderId="1" xfId="0" applyNumberFormat="1" applyFont="1" applyBorder="1" applyAlignment="1" applyProtection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 applyProtection="1">
      <alignment horizontal="center"/>
    </xf>
    <xf numFmtId="0" fontId="4" fillId="0" borderId="8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11" xfId="0" applyNumberFormat="1" applyFont="1" applyBorder="1" applyAlignment="1" applyProtection="1">
      <alignment horizontal="center"/>
    </xf>
    <xf numFmtId="164" fontId="0" fillId="0" borderId="11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169" fontId="0" fillId="0" borderId="0" xfId="0" applyNumberFormat="1" applyFill="1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9" xfId="0" applyBorder="1"/>
    <xf numFmtId="0" fontId="4" fillId="0" borderId="1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0" fillId="0" borderId="3" xfId="0" applyBorder="1"/>
    <xf numFmtId="165" fontId="0" fillId="0" borderId="9" xfId="0" applyNumberFormat="1" applyFill="1" applyBorder="1" applyAlignment="1" applyProtection="1">
      <alignment horizontal="center"/>
    </xf>
    <xf numFmtId="165" fontId="0" fillId="0" borderId="9" xfId="0" applyNumberFormat="1" applyFill="1" applyBorder="1" applyAlignment="1">
      <alignment horizontal="center"/>
    </xf>
    <xf numFmtId="165" fontId="4" fillId="0" borderId="2" xfId="0" applyNumberFormat="1" applyFont="1" applyFill="1" applyBorder="1" applyAlignment="1" applyProtection="1">
      <alignment horizontal="center"/>
      <protection locked="0"/>
    </xf>
    <xf numFmtId="165" fontId="4" fillId="0" borderId="3" xfId="0" applyNumberFormat="1" applyFont="1" applyBorder="1" applyAlignment="1">
      <alignment horizontal="center"/>
    </xf>
    <xf numFmtId="165" fontId="4" fillId="0" borderId="9" xfId="0" applyNumberFormat="1" applyFont="1" applyFill="1" applyBorder="1" applyAlignment="1" applyProtection="1">
      <alignment horizontal="center"/>
    </xf>
    <xf numFmtId="165" fontId="4" fillId="0" borderId="8" xfId="0" applyNumberFormat="1" applyFont="1" applyFill="1" applyBorder="1" applyAlignment="1" applyProtection="1">
      <alignment horizontal="right"/>
      <protection locked="0"/>
    </xf>
    <xf numFmtId="165" fontId="4" fillId="0" borderId="9" xfId="0" applyNumberFormat="1" applyFont="1" applyFill="1" applyBorder="1" applyAlignment="1" applyProtection="1">
      <alignment horizontal="right"/>
      <protection locked="0"/>
    </xf>
    <xf numFmtId="0" fontId="9" fillId="0" borderId="0" xfId="0" applyFont="1" applyBorder="1"/>
    <xf numFmtId="0" fontId="4" fillId="0" borderId="3" xfId="0" applyFont="1" applyBorder="1"/>
    <xf numFmtId="165" fontId="4" fillId="0" borderId="3" xfId="0" applyNumberFormat="1" applyFont="1" applyBorder="1"/>
    <xf numFmtId="0" fontId="9" fillId="0" borderId="3" xfId="0" applyFont="1" applyBorder="1"/>
    <xf numFmtId="0" fontId="0" fillId="0" borderId="11" xfId="0" applyBorder="1"/>
    <xf numFmtId="0" fontId="0" fillId="0" borderId="11" xfId="0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3" xfId="0" applyFont="1" applyBorder="1"/>
    <xf numFmtId="164" fontId="0" fillId="0" borderId="3" xfId="0" applyNumberFormat="1" applyBorder="1"/>
    <xf numFmtId="164" fontId="0" fillId="0" borderId="3" xfId="0" applyNumberFormat="1" applyFont="1" applyBorder="1"/>
    <xf numFmtId="0" fontId="0" fillId="0" borderId="2" xfId="0" applyBorder="1"/>
    <xf numFmtId="0" fontId="0" fillId="0" borderId="1" xfId="0" applyBorder="1"/>
    <xf numFmtId="9" fontId="4" fillId="0" borderId="4" xfId="1" applyFont="1" applyFill="1" applyBorder="1" applyAlignment="1" applyProtection="1">
      <alignment horizontal="center"/>
    </xf>
    <xf numFmtId="0" fontId="0" fillId="0" borderId="7" xfId="0" applyBorder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65" fontId="0" fillId="0" borderId="8" xfId="0" applyNumberFormat="1" applyFill="1" applyBorder="1" applyAlignment="1" applyProtection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70" fontId="0" fillId="0" borderId="11" xfId="0" applyNumberFormat="1" applyFont="1" applyBorder="1" applyAlignment="1">
      <alignment horizontal="center"/>
    </xf>
    <xf numFmtId="170" fontId="0" fillId="0" borderId="1" xfId="0" applyNumberFormat="1" applyFont="1" applyBorder="1" applyAlignment="1">
      <alignment horizontal="center"/>
    </xf>
    <xf numFmtId="165" fontId="4" fillId="0" borderId="7" xfId="0" applyNumberFormat="1" applyFont="1" applyFill="1" applyBorder="1" applyAlignment="1" applyProtection="1">
      <alignment horizontal="right"/>
      <protection locked="0"/>
    </xf>
    <xf numFmtId="165" fontId="4" fillId="0" borderId="4" xfId="0" applyNumberFormat="1" applyFont="1" applyFill="1" applyBorder="1" applyAlignment="1" applyProtection="1">
      <alignment horizontal="right"/>
      <protection locked="0"/>
    </xf>
    <xf numFmtId="165" fontId="0" fillId="0" borderId="11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right"/>
    </xf>
    <xf numFmtId="164" fontId="0" fillId="0" borderId="11" xfId="0" applyNumberFormat="1" applyFill="1" applyBorder="1"/>
    <xf numFmtId="0" fontId="0" fillId="0" borderId="3" xfId="0" applyFill="1" applyBorder="1"/>
    <xf numFmtId="0" fontId="0" fillId="0" borderId="2" xfId="0" applyFont="1" applyFill="1" applyBorder="1" applyAlignment="1">
      <alignment horizontal="right"/>
    </xf>
    <xf numFmtId="164" fontId="0" fillId="0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5" fontId="4" fillId="0" borderId="1" xfId="0" applyNumberFormat="1" applyFont="1" applyFill="1" applyBorder="1" applyAlignment="1">
      <alignment horizontal="center" wrapText="1"/>
    </xf>
    <xf numFmtId="165" fontId="4" fillId="0" borderId="2" xfId="0" applyNumberFormat="1" applyFont="1" applyFill="1" applyBorder="1" applyAlignment="1" applyProtection="1">
      <alignment horizontal="center" wrapText="1"/>
      <protection locked="0"/>
    </xf>
    <xf numFmtId="165" fontId="4" fillId="0" borderId="0" xfId="0" applyNumberFormat="1" applyFont="1" applyFill="1" applyBorder="1" applyAlignment="1">
      <alignment horizontal="center" wrapText="1"/>
    </xf>
    <xf numFmtId="165" fontId="4" fillId="0" borderId="0" xfId="0" applyNumberFormat="1" applyFont="1" applyFill="1" applyBorder="1" applyAlignment="1" applyProtection="1">
      <alignment horizontal="center" wrapText="1"/>
      <protection locked="0"/>
    </xf>
    <xf numFmtId="165" fontId="4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left"/>
    </xf>
    <xf numFmtId="0" fontId="5" fillId="4" borderId="10" xfId="0" applyFont="1" applyFill="1" applyBorder="1"/>
    <xf numFmtId="0" fontId="5" fillId="4" borderId="10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horizontal="right" wrapText="1"/>
    </xf>
    <xf numFmtId="0" fontId="5" fillId="4" borderId="10" xfId="0" applyFont="1" applyFill="1" applyBorder="1" applyAlignment="1">
      <alignment wrapText="1"/>
    </xf>
    <xf numFmtId="164" fontId="0" fillId="0" borderId="10" xfId="0" applyNumberFormat="1" applyBorder="1"/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 applyProtection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171" fontId="0" fillId="0" borderId="9" xfId="0" applyNumberFormat="1" applyBorder="1" applyAlignment="1">
      <alignment horizontal="center"/>
    </xf>
    <xf numFmtId="171" fontId="0" fillId="0" borderId="8" xfId="0" applyNumberForma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65" fontId="0" fillId="3" borderId="5" xfId="0" applyNumberFormat="1" applyFill="1" applyBorder="1" applyAlignment="1" applyProtection="1">
      <alignment horizontal="center"/>
    </xf>
    <xf numFmtId="165" fontId="0" fillId="3" borderId="0" xfId="0" applyNumberFormat="1" applyFill="1" applyBorder="1" applyAlignment="1" applyProtection="1">
      <alignment horizontal="center"/>
    </xf>
    <xf numFmtId="165" fontId="0" fillId="3" borderId="3" xfId="0" applyNumberFormat="1" applyFill="1" applyBorder="1" applyAlignment="1" applyProtection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5" fontId="0" fillId="5" borderId="0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5" fontId="4" fillId="5" borderId="10" xfId="0" applyNumberFormat="1" applyFont="1" applyFill="1" applyBorder="1" applyAlignment="1">
      <alignment horizontal="center" wrapText="1"/>
    </xf>
    <xf numFmtId="165" fontId="4" fillId="5" borderId="11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71" fontId="0" fillId="6" borderId="7" xfId="0" applyNumberFormat="1" applyFill="1" applyBorder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171" fontId="0" fillId="6" borderId="4" xfId="0" applyNumberFormat="1" applyFill="1" applyBorder="1" applyAlignment="1">
      <alignment horizontal="center"/>
    </xf>
    <xf numFmtId="165" fontId="0" fillId="6" borderId="3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0" fillId="6" borderId="0" xfId="0" applyNumberFormat="1" applyFont="1" applyFill="1" applyBorder="1" applyAlignment="1">
      <alignment horizontal="center"/>
    </xf>
    <xf numFmtId="165" fontId="0" fillId="6" borderId="11" xfId="0" applyNumberFormat="1" applyFont="1" applyFill="1" applyBorder="1" applyAlignment="1">
      <alignment horizontal="center"/>
    </xf>
    <xf numFmtId="165" fontId="0" fillId="6" borderId="3" xfId="0" applyNumberFormat="1" applyFont="1" applyFill="1" applyBorder="1" applyAlignment="1">
      <alignment horizontal="center"/>
    </xf>
    <xf numFmtId="165" fontId="0" fillId="6" borderId="1" xfId="0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Fill="1"/>
    <xf numFmtId="164" fontId="0" fillId="6" borderId="0" xfId="1" applyNumberFormat="1" applyFont="1" applyFill="1" applyBorder="1" applyAlignment="1" applyProtection="1">
      <alignment horizontal="center" wrapText="1"/>
    </xf>
    <xf numFmtId="171" fontId="0" fillId="0" borderId="6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171" fontId="0" fillId="0" borderId="7" xfId="0" applyNumberFormat="1" applyFill="1" applyBorder="1" applyAlignment="1">
      <alignment horizontal="center"/>
    </xf>
    <xf numFmtId="171" fontId="0" fillId="0" borderId="4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center" wrapText="1"/>
    </xf>
    <xf numFmtId="164" fontId="0" fillId="0" borderId="3" xfId="1" applyNumberFormat="1" applyFont="1" applyFill="1" applyBorder="1" applyAlignment="1" applyProtection="1">
      <alignment horizontal="center" wrapText="1"/>
    </xf>
    <xf numFmtId="164" fontId="8" fillId="0" borderId="1" xfId="0" applyNumberFormat="1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0" fillId="0" borderId="5" xfId="0" applyFill="1" applyBorder="1"/>
    <xf numFmtId="0" fontId="4" fillId="0" borderId="3" xfId="0" applyFont="1" applyFill="1" applyBorder="1"/>
    <xf numFmtId="0" fontId="5" fillId="4" borderId="8" xfId="0" applyFont="1" applyFill="1" applyBorder="1"/>
    <xf numFmtId="0" fontId="4" fillId="0" borderId="2" xfId="0" applyFont="1" applyFill="1" applyBorder="1" applyAlignment="1">
      <alignment horizontal="center"/>
    </xf>
    <xf numFmtId="165" fontId="4" fillId="0" borderId="8" xfId="0" applyNumberFormat="1" applyFont="1" applyFill="1" applyBorder="1" applyAlignment="1" applyProtection="1">
      <alignment horizontal="center" wrapText="1"/>
      <protection locked="0"/>
    </xf>
    <xf numFmtId="165" fontId="4" fillId="0" borderId="9" xfId="0" applyNumberFormat="1" applyFont="1" applyFill="1" applyBorder="1" applyAlignment="1" applyProtection="1">
      <alignment horizontal="center" wrapText="1"/>
      <protection locked="0"/>
    </xf>
    <xf numFmtId="165" fontId="4" fillId="0" borderId="10" xfId="0" applyNumberFormat="1" applyFont="1" applyBorder="1" applyAlignment="1">
      <alignment horizontal="center"/>
    </xf>
    <xf numFmtId="165" fontId="0" fillId="0" borderId="11" xfId="1" applyNumberFormat="1" applyFont="1" applyFill="1" applyBorder="1" applyAlignment="1" applyProtection="1">
      <alignment horizontal="center"/>
    </xf>
    <xf numFmtId="164" fontId="0" fillId="0" borderId="11" xfId="0" applyNumberFormat="1" applyBorder="1"/>
    <xf numFmtId="0" fontId="4" fillId="0" borderId="4" xfId="0" applyFont="1" applyBorder="1" applyAlignment="1">
      <alignment horizontal="center"/>
    </xf>
    <xf numFmtId="0" fontId="0" fillId="0" borderId="6" xfId="0" applyBorder="1"/>
    <xf numFmtId="0" fontId="4" fillId="0" borderId="5" xfId="0" applyFont="1" applyBorder="1"/>
    <xf numFmtId="0" fontId="4" fillId="0" borderId="5" xfId="0" applyFont="1" applyFill="1" applyBorder="1"/>
    <xf numFmtId="165" fontId="4" fillId="0" borderId="5" xfId="0" applyNumberFormat="1" applyFont="1" applyBorder="1"/>
    <xf numFmtId="0" fontId="9" fillId="0" borderId="5" xfId="0" applyFont="1" applyBorder="1"/>
    <xf numFmtId="0" fontId="9" fillId="0" borderId="10" xfId="0" applyFont="1" applyBorder="1"/>
    <xf numFmtId="0" fontId="6" fillId="0" borderId="11" xfId="0" applyFont="1" applyBorder="1"/>
    <xf numFmtId="168" fontId="6" fillId="0" borderId="8" xfId="0" applyNumberFormat="1" applyFont="1" applyBorder="1"/>
    <xf numFmtId="0" fontId="0" fillId="0" borderId="5" xfId="0" applyFont="1" applyBorder="1"/>
    <xf numFmtId="164" fontId="0" fillId="0" borderId="10" xfId="0" applyNumberFormat="1" applyFont="1" applyBorder="1"/>
    <xf numFmtId="168" fontId="6" fillId="0" borderId="9" xfId="0" applyNumberFormat="1" applyFont="1" applyBorder="1"/>
    <xf numFmtId="164" fontId="0" fillId="0" borderId="11" xfId="0" applyNumberFormat="1" applyFont="1" applyBorder="1"/>
    <xf numFmtId="165" fontId="0" fillId="0" borderId="9" xfId="0" applyNumberFormat="1" applyBorder="1"/>
    <xf numFmtId="164" fontId="0" fillId="0" borderId="8" xfId="0" applyNumberFormat="1" applyBorder="1"/>
    <xf numFmtId="164" fontId="0" fillId="0" borderId="5" xfId="0" applyNumberFormat="1" applyFont="1" applyBorder="1"/>
    <xf numFmtId="164" fontId="0" fillId="0" borderId="9" xfId="0" applyNumberFormat="1" applyBorder="1"/>
    <xf numFmtId="165" fontId="4" fillId="0" borderId="11" xfId="0" applyNumberFormat="1" applyFont="1" applyFill="1" applyBorder="1" applyAlignment="1">
      <alignment horizontal="center" wrapText="1"/>
    </xf>
    <xf numFmtId="165" fontId="4" fillId="0" borderId="9" xfId="0" applyNumberFormat="1" applyFont="1" applyFill="1" applyBorder="1" applyAlignment="1" applyProtection="1">
      <alignment horizontal="center"/>
      <protection locked="0"/>
    </xf>
    <xf numFmtId="165" fontId="4" fillId="0" borderId="7" xfId="1" applyNumberFormat="1" applyFont="1" applyFill="1" applyBorder="1" applyAlignment="1" applyProtection="1">
      <alignment horizontal="center"/>
    </xf>
    <xf numFmtId="165" fontId="4" fillId="0" borderId="4" xfId="1" applyNumberFormat="1" applyFont="1" applyFill="1" applyBorder="1" applyAlignment="1" applyProtection="1">
      <alignment horizontal="center"/>
    </xf>
    <xf numFmtId="165" fontId="0" fillId="5" borderId="1" xfId="0" applyNumberForma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 applyProtection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165" fontId="4" fillId="0" borderId="9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wrapText="1"/>
    </xf>
    <xf numFmtId="0" fontId="0" fillId="0" borderId="13" xfId="0" applyBorder="1"/>
    <xf numFmtId="0" fontId="4" fillId="0" borderId="13" xfId="0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5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5" fontId="0" fillId="5" borderId="0" xfId="0" applyNumberFormat="1" applyFont="1" applyFill="1" applyBorder="1" applyAlignment="1" applyProtection="1">
      <alignment horizontal="center"/>
    </xf>
    <xf numFmtId="165" fontId="0" fillId="5" borderId="11" xfId="0" applyNumberFormat="1" applyFont="1" applyFill="1" applyBorder="1" applyAlignment="1" applyProtection="1">
      <alignment horizontal="center"/>
    </xf>
    <xf numFmtId="0" fontId="4" fillId="7" borderId="2" xfId="0" applyFont="1" applyFill="1" applyBorder="1" applyAlignment="1" applyProtection="1">
      <alignment horizontal="center"/>
      <protection locked="0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9" xfId="0" applyFill="1" applyBorder="1"/>
    <xf numFmtId="165" fontId="4" fillId="0" borderId="4" xfId="0" applyNumberFormat="1" applyFont="1" applyBorder="1" applyAlignment="1" applyProtection="1">
      <alignment horizontal="center"/>
    </xf>
    <xf numFmtId="0" fontId="0" fillId="0" borderId="7" xfId="0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4" xfId="0" applyFont="1" applyBorder="1" applyAlignment="1"/>
    <xf numFmtId="0" fontId="0" fillId="6" borderId="8" xfId="0" applyFont="1" applyFill="1" applyBorder="1" applyAlignment="1">
      <alignment horizontal="center"/>
    </xf>
    <xf numFmtId="164" fontId="0" fillId="6" borderId="5" xfId="0" applyNumberFormat="1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165" fontId="0" fillId="6" borderId="9" xfId="0" applyNumberFormat="1" applyFont="1" applyFill="1" applyBorder="1" applyAlignment="1">
      <alignment horizontal="center"/>
    </xf>
    <xf numFmtId="165" fontId="0" fillId="0" borderId="9" xfId="0" applyNumberFormat="1" applyFont="1" applyFill="1" applyBorder="1" applyAlignment="1">
      <alignment horizontal="center"/>
    </xf>
    <xf numFmtId="165" fontId="0" fillId="6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4" fillId="5" borderId="0" xfId="0" applyNumberFormat="1" applyFont="1" applyFill="1" applyBorder="1" applyAlignment="1">
      <alignment horizontal="center" wrapText="1"/>
    </xf>
    <xf numFmtId="165" fontId="4" fillId="5" borderId="9" xfId="0" applyNumberFormat="1" applyFont="1" applyFill="1" applyBorder="1" applyAlignment="1">
      <alignment horizontal="center" wrapText="1"/>
    </xf>
    <xf numFmtId="165" fontId="4" fillId="5" borderId="2" xfId="0" applyNumberFormat="1" applyFont="1" applyFill="1" applyBorder="1" applyAlignment="1">
      <alignment horizontal="center" wrapText="1"/>
    </xf>
    <xf numFmtId="165" fontId="4" fillId="5" borderId="1" xfId="0" applyNumberFormat="1" applyFont="1" applyFill="1" applyBorder="1" applyAlignment="1">
      <alignment horizontal="center" wrapText="1"/>
    </xf>
    <xf numFmtId="165" fontId="4" fillId="5" borderId="3" xfId="0" applyNumberFormat="1" applyFont="1" applyFill="1" applyBorder="1" applyAlignment="1">
      <alignment horizontal="center" wrapText="1"/>
    </xf>
    <xf numFmtId="165" fontId="0" fillId="0" borderId="8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0" fontId="5" fillId="0" borderId="7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right"/>
    </xf>
    <xf numFmtId="0" fontId="0" fillId="0" borderId="7" xfId="0" applyFill="1" applyBorder="1"/>
    <xf numFmtId="164" fontId="4" fillId="0" borderId="0" xfId="0" applyNumberFormat="1" applyFont="1" applyFill="1" applyBorder="1"/>
    <xf numFmtId="164" fontId="4" fillId="0" borderId="5" xfId="0" applyNumberFormat="1" applyFont="1" applyBorder="1"/>
    <xf numFmtId="0" fontId="0" fillId="0" borderId="11" xfId="0" applyFill="1" applyBorder="1"/>
    <xf numFmtId="168" fontId="6" fillId="0" borderId="2" xfId="0" applyNumberFormat="1" applyFont="1" applyBorder="1"/>
    <xf numFmtId="164" fontId="0" fillId="0" borderId="1" xfId="0" applyNumberFormat="1" applyFont="1" applyBorder="1"/>
    <xf numFmtId="164" fontId="0" fillId="0" borderId="2" xfId="0" applyNumberFormat="1" applyBorder="1"/>
    <xf numFmtId="169" fontId="0" fillId="0" borderId="3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3" applyFont="1" applyBorder="1"/>
    <xf numFmtId="0" fontId="12" fillId="4" borderId="0" xfId="3" applyFont="1" applyFill="1" applyBorder="1"/>
    <xf numFmtId="0" fontId="11" fillId="0" borderId="6" xfId="3" applyFont="1" applyFill="1" applyBorder="1"/>
    <xf numFmtId="0" fontId="5" fillId="0" borderId="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1" fillId="0" borderId="7" xfId="3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2" fontId="13" fillId="6" borderId="0" xfId="0" applyNumberFormat="1" applyFont="1" applyFill="1" applyBorder="1" applyAlignment="1">
      <alignment horizontal="center"/>
    </xf>
    <xf numFmtId="49" fontId="13" fillId="6" borderId="0" xfId="0" applyNumberFormat="1" applyFont="1" applyFill="1" applyBorder="1" applyAlignment="1">
      <alignment horizontal="center"/>
    </xf>
    <xf numFmtId="165" fontId="13" fillId="0" borderId="8" xfId="0" applyNumberFormat="1" applyFont="1" applyFill="1" applyBorder="1" applyAlignment="1" applyProtection="1">
      <alignment horizontal="center"/>
    </xf>
    <xf numFmtId="165" fontId="13" fillId="0" borderId="10" xfId="0" applyNumberFormat="1" applyFont="1" applyFill="1" applyBorder="1" applyAlignment="1" applyProtection="1">
      <alignment horizontal="center"/>
    </xf>
    <xf numFmtId="165" fontId="13" fillId="0" borderId="9" xfId="0" applyNumberFormat="1" applyFont="1" applyFill="1" applyBorder="1" applyAlignment="1" applyProtection="1">
      <alignment horizontal="center"/>
    </xf>
    <xf numFmtId="165" fontId="13" fillId="0" borderId="11" xfId="0" applyNumberFormat="1" applyFont="1" applyFill="1" applyBorder="1" applyAlignment="1" applyProtection="1">
      <alignment horizontal="center"/>
    </xf>
    <xf numFmtId="169" fontId="13" fillId="0" borderId="0" xfId="4" applyNumberFormat="1" applyFont="1" applyBorder="1" applyAlignment="1">
      <alignment horizontal="center"/>
    </xf>
    <xf numFmtId="0" fontId="5" fillId="0" borderId="0" xfId="4" applyFont="1" applyBorder="1" applyAlignment="1">
      <alignment horizontal="center"/>
    </xf>
    <xf numFmtId="0" fontId="13" fillId="0" borderId="0" xfId="4" applyFont="1" applyBorder="1" applyAlignment="1">
      <alignment horizontal="center"/>
    </xf>
    <xf numFmtId="0" fontId="11" fillId="0" borderId="4" xfId="3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2" fontId="13" fillId="6" borderId="3" xfId="0" applyNumberFormat="1" applyFont="1" applyFill="1" applyBorder="1" applyAlignment="1">
      <alignment horizontal="center"/>
    </xf>
    <xf numFmtId="49" fontId="13" fillId="6" borderId="3" xfId="0" applyNumberFormat="1" applyFont="1" applyFill="1" applyBorder="1" applyAlignment="1">
      <alignment horizontal="center"/>
    </xf>
    <xf numFmtId="165" fontId="13" fillId="0" borderId="2" xfId="0" applyNumberFormat="1" applyFont="1" applyFill="1" applyBorder="1" applyAlignment="1" applyProtection="1">
      <alignment horizontal="center"/>
    </xf>
    <xf numFmtId="165" fontId="13" fillId="0" borderId="1" xfId="0" applyNumberFormat="1" applyFont="1" applyFill="1" applyBorder="1" applyAlignment="1" applyProtection="1">
      <alignment horizontal="center"/>
    </xf>
    <xf numFmtId="169" fontId="11" fillId="0" borderId="0" xfId="3" applyNumberFormat="1" applyFont="1" applyBorder="1" applyAlignment="1">
      <alignment horizontal="center"/>
    </xf>
    <xf numFmtId="0" fontId="11" fillId="0" borderId="8" xfId="3" applyFont="1" applyFill="1" applyBorder="1"/>
    <xf numFmtId="172" fontId="11" fillId="0" borderId="0" xfId="3" applyNumberFormat="1" applyFont="1" applyBorder="1" applyAlignment="1">
      <alignment horizontal="center"/>
    </xf>
    <xf numFmtId="0" fontId="12" fillId="0" borderId="2" xfId="3" applyFont="1" applyFill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11" fillId="0" borderId="9" xfId="3" applyFont="1" applyFill="1" applyBorder="1" applyAlignment="1">
      <alignment horizontal="center"/>
    </xf>
    <xf numFmtId="165" fontId="13" fillId="6" borderId="8" xfId="0" applyNumberFormat="1" applyFont="1" applyFill="1" applyBorder="1" applyAlignment="1">
      <alignment horizontal="center"/>
    </xf>
    <xf numFmtId="165" fontId="13" fillId="6" borderId="5" xfId="0" applyNumberFormat="1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2" fontId="13" fillId="0" borderId="11" xfId="0" applyNumberFormat="1" applyFont="1" applyFill="1" applyBorder="1" applyAlignment="1">
      <alignment horizontal="center"/>
    </xf>
    <xf numFmtId="165" fontId="13" fillId="6" borderId="9" xfId="0" applyNumberFormat="1" applyFont="1" applyFill="1" applyBorder="1" applyAlignment="1">
      <alignment horizontal="center"/>
    </xf>
    <xf numFmtId="165" fontId="13" fillId="6" borderId="0" xfId="0" applyNumberFormat="1" applyFont="1" applyFill="1" applyBorder="1" applyAlignment="1">
      <alignment horizontal="center"/>
    </xf>
    <xf numFmtId="169" fontId="11" fillId="0" borderId="0" xfId="3" applyNumberFormat="1" applyFont="1" applyBorder="1"/>
    <xf numFmtId="0" fontId="11" fillId="0" borderId="2" xfId="3" applyFont="1" applyFill="1" applyBorder="1" applyAlignment="1">
      <alignment horizontal="center"/>
    </xf>
    <xf numFmtId="165" fontId="13" fillId="6" borderId="2" xfId="0" applyNumberFormat="1" applyFont="1" applyFill="1" applyBorder="1" applyAlignment="1">
      <alignment horizontal="center"/>
    </xf>
    <xf numFmtId="165" fontId="13" fillId="6" borderId="3" xfId="0" applyNumberFormat="1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2" fontId="13" fillId="0" borderId="3" xfId="0" applyNumberFormat="1" applyFont="1" applyFill="1" applyBorder="1" applyAlignment="1">
      <alignment horizontal="center"/>
    </xf>
    <xf numFmtId="0" fontId="13" fillId="0" borderId="3" xfId="0" applyNumberFormat="1" applyFont="1" applyFill="1" applyBorder="1" applyAlignment="1">
      <alignment horizontal="center"/>
    </xf>
    <xf numFmtId="1" fontId="13" fillId="0" borderId="3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0" fontId="12" fillId="0" borderId="8" xfId="3" applyFont="1" applyBorder="1" applyAlignment="1">
      <alignment horizontal="left"/>
    </xf>
    <xf numFmtId="0" fontId="11" fillId="0" borderId="5" xfId="3" applyFont="1" applyBorder="1"/>
    <xf numFmtId="0" fontId="12" fillId="0" borderId="5" xfId="3" applyFont="1" applyBorder="1" applyAlignment="1">
      <alignment horizontal="center"/>
    </xf>
    <xf numFmtId="0" fontId="11" fillId="6" borderId="5" xfId="3" applyFont="1" applyFill="1" applyBorder="1" applyAlignment="1">
      <alignment horizontal="center"/>
    </xf>
    <xf numFmtId="0" fontId="11" fillId="0" borderId="10" xfId="3" applyFont="1" applyBorder="1"/>
    <xf numFmtId="0" fontId="12" fillId="0" borderId="10" xfId="3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3" fillId="6" borderId="9" xfId="4" applyFont="1" applyFill="1" applyBorder="1" applyAlignment="1">
      <alignment horizontal="center"/>
    </xf>
    <xf numFmtId="0" fontId="13" fillId="6" borderId="0" xfId="4" applyFont="1" applyFill="1" applyBorder="1" applyAlignment="1">
      <alignment horizontal="center"/>
    </xf>
    <xf numFmtId="0" fontId="13" fillId="0" borderId="8" xfId="4" applyFont="1" applyBorder="1" applyAlignment="1">
      <alignment horizontal="center"/>
    </xf>
    <xf numFmtId="0" fontId="13" fillId="0" borderId="5" xfId="4" applyFont="1" applyBorder="1" applyAlignment="1">
      <alignment horizontal="center"/>
    </xf>
    <xf numFmtId="0" fontId="13" fillId="0" borderId="10" xfId="4" applyFont="1" applyBorder="1" applyAlignment="1">
      <alignment horizontal="center"/>
    </xf>
    <xf numFmtId="171" fontId="11" fillId="0" borderId="11" xfId="3" applyNumberFormat="1" applyFont="1" applyBorder="1" applyAlignment="1">
      <alignment horizontal="center"/>
    </xf>
    <xf numFmtId="0" fontId="13" fillId="0" borderId="9" xfId="4" applyFont="1" applyBorder="1" applyAlignment="1">
      <alignment horizontal="center"/>
    </xf>
    <xf numFmtId="0" fontId="13" fillId="0" borderId="11" xfId="4" applyFont="1" applyBorder="1" applyAlignment="1">
      <alignment horizontal="center"/>
    </xf>
    <xf numFmtId="0" fontId="13" fillId="6" borderId="2" xfId="4" applyFont="1" applyFill="1" applyBorder="1" applyAlignment="1">
      <alignment horizontal="center"/>
    </xf>
    <xf numFmtId="0" fontId="13" fillId="6" borderId="3" xfId="4" applyFont="1" applyFill="1" applyBorder="1" applyAlignment="1">
      <alignment horizontal="center"/>
    </xf>
    <xf numFmtId="0" fontId="13" fillId="0" borderId="2" xfId="4" applyFont="1" applyBorder="1" applyAlignment="1">
      <alignment horizontal="center"/>
    </xf>
    <xf numFmtId="0" fontId="13" fillId="0" borderId="3" xfId="4" applyFont="1" applyBorder="1" applyAlignment="1">
      <alignment horizontal="center"/>
    </xf>
    <xf numFmtId="0" fontId="13" fillId="0" borderId="1" xfId="4" applyFont="1" applyBorder="1" applyAlignment="1">
      <alignment horizontal="center"/>
    </xf>
    <xf numFmtId="171" fontId="11" fillId="0" borderId="1" xfId="3" applyNumberFormat="1" applyFont="1" applyBorder="1" applyAlignment="1">
      <alignment horizontal="center"/>
    </xf>
    <xf numFmtId="171" fontId="11" fillId="0" borderId="0" xfId="3" applyNumberFormat="1" applyFont="1" applyBorder="1"/>
    <xf numFmtId="171" fontId="12" fillId="0" borderId="10" xfId="3" applyNumberFormat="1" applyFont="1" applyBorder="1" applyAlignment="1">
      <alignment horizontal="center"/>
    </xf>
    <xf numFmtId="171" fontId="12" fillId="0" borderId="1" xfId="3" applyNumberFormat="1" applyFont="1" applyBorder="1" applyAlignment="1">
      <alignment horizontal="center"/>
    </xf>
    <xf numFmtId="171" fontId="13" fillId="6" borderId="11" xfId="0" applyNumberFormat="1" applyFont="1" applyFill="1" applyBorder="1" applyAlignment="1">
      <alignment horizontal="center"/>
    </xf>
    <xf numFmtId="171" fontId="13" fillId="6" borderId="1" xfId="0" applyNumberFormat="1" applyFont="1" applyFill="1" applyBorder="1" applyAlignment="1">
      <alignment horizontal="center"/>
    </xf>
    <xf numFmtId="171" fontId="4" fillId="5" borderId="7" xfId="0" applyNumberFormat="1" applyFont="1" applyFill="1" applyBorder="1" applyAlignment="1">
      <alignment horizontal="center"/>
    </xf>
    <xf numFmtId="173" fontId="0" fillId="0" borderId="0" xfId="0" applyNumberFormat="1" applyFill="1" applyBorder="1" applyAlignment="1">
      <alignment horizontal="center"/>
    </xf>
    <xf numFmtId="174" fontId="0" fillId="0" borderId="11" xfId="0" applyNumberFormat="1" applyFill="1" applyBorder="1" applyAlignment="1">
      <alignment horizontal="center"/>
    </xf>
    <xf numFmtId="174" fontId="0" fillId="0" borderId="0" xfId="0" applyNumberFormat="1" applyFont="1" applyBorder="1" applyAlignment="1" applyProtection="1">
      <alignment horizontal="center"/>
    </xf>
    <xf numFmtId="174" fontId="0" fillId="0" borderId="11" xfId="0" applyNumberFormat="1" applyFont="1" applyBorder="1" applyAlignment="1" applyProtection="1">
      <alignment horizontal="center"/>
    </xf>
  </cellXfs>
  <cellStyles count="5">
    <cellStyle name="Normal" xfId="0" builtinId="0"/>
    <cellStyle name="Normal 3 3" xfId="4"/>
    <cellStyle name="Normal 6" xfId="3"/>
    <cellStyle name="Percent" xfId="1" builtinId="5"/>
    <cellStyle name="Quality_green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b="1"/>
              <a:t>Catalog (B-V) vs. Instrumental</a:t>
            </a:r>
            <a:r>
              <a:rPr lang="en-AU" b="1" baseline="0"/>
              <a:t> (b-v)</a:t>
            </a:r>
            <a:endParaRPr lang="en-AU" b="1"/>
          </a:p>
        </c:rich>
      </c:tx>
      <c:layout>
        <c:manualLayout>
          <c:xMode val="edge"/>
          <c:yMode val="edge"/>
          <c:x val="0.21333204402081324"/>
          <c:y val="3.64076463222121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814970803068225E-2"/>
          <c:y val="0.11974794953843779"/>
          <c:w val="0.81183055606421295"/>
          <c:h val="0.7452090584692265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chemeClr val="accent2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3847016215996256"/>
                  <c:y val="7.0741289449780878E-2"/>
                </c:manualLayout>
              </c:layout>
              <c:numFmt formatCode="#,##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Calculations!$H$57:$N$57</c:f>
              <c:numCache>
                <c:formatCode>0.000</c:formatCode>
                <c:ptCount val="7"/>
                <c:pt idx="0">
                  <c:v>0.21920000000000073</c:v>
                </c:pt>
                <c:pt idx="1">
                  <c:v>-6.5500000000024983E-3</c:v>
                </c:pt>
                <c:pt idx="2">
                  <c:v>0.35130000000000017</c:v>
                </c:pt>
                <c:pt idx="3">
                  <c:v>5.4650000000000531E-2</c:v>
                </c:pt>
                <c:pt idx="4">
                  <c:v>0.23810000000000109</c:v>
                </c:pt>
                <c:pt idx="5">
                  <c:v>0.74905000000000044</c:v>
                </c:pt>
                <c:pt idx="6">
                  <c:v>0.14254999999999995</c:v>
                </c:pt>
              </c:numCache>
            </c:numRef>
          </c:xVal>
          <c:yVal>
            <c:numRef>
              <c:f>Calculations!$H$27:$N$27</c:f>
              <c:numCache>
                <c:formatCode>0.000</c:formatCode>
                <c:ptCount val="7"/>
                <c:pt idx="0">
                  <c:v>0.38200000000000001</c:v>
                </c:pt>
                <c:pt idx="1">
                  <c:v>-6.9000000000000006E-2</c:v>
                </c:pt>
                <c:pt idx="2">
                  <c:v>0.624</c:v>
                </c:pt>
                <c:pt idx="3">
                  <c:v>8.7999999999999995E-2</c:v>
                </c:pt>
                <c:pt idx="4">
                  <c:v>0.43</c:v>
                </c:pt>
                <c:pt idx="5">
                  <c:v>1.4319999999999999</c:v>
                </c:pt>
                <c:pt idx="6">
                  <c:v>0.23200000000000001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9"/>
            <c:spPr>
              <a:noFill/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>
                <c:manualLayout>
                  <c:x val="-1.3872103196402776E-3"/>
                  <c:y val="7.42804302650056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Target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Calculations!$G$57</c:f>
              <c:numCache>
                <c:formatCode>0.000</c:formatCode>
                <c:ptCount val="1"/>
                <c:pt idx="0">
                  <c:v>0.66389999999999816</c:v>
                </c:pt>
              </c:numCache>
            </c:numRef>
          </c:xVal>
          <c:yVal>
            <c:numRef>
              <c:f>Calculations!$G$27</c:f>
              <c:numCache>
                <c:formatCode>0.000</c:formatCode>
                <c:ptCount val="1"/>
                <c:pt idx="0">
                  <c:v>1.248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073536"/>
        <c:axId val="834074096"/>
      </c:scatterChart>
      <c:valAx>
        <c:axId val="834073536"/>
        <c:scaling>
          <c:orientation val="minMax"/>
        </c:scaling>
        <c:delete val="0"/>
        <c:axPos val="b"/>
        <c:majorGridlines>
          <c:spPr>
            <a:ln w="3175">
              <a:noFill/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(b-v)</a:t>
                </a:r>
              </a:p>
            </c:rich>
          </c:tx>
          <c:layout>
            <c:manualLayout>
              <c:xMode val="edge"/>
              <c:yMode val="edge"/>
              <c:x val="0.40789598974546787"/>
              <c:y val="0.925343488501447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074096"/>
        <c:crossesAt val="0"/>
        <c:crossBetween val="midCat"/>
      </c:valAx>
      <c:valAx>
        <c:axId val="834074096"/>
        <c:scaling>
          <c:orientation val="minMax"/>
        </c:scaling>
        <c:delete val="0"/>
        <c:axPos val="r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 baseline="0"/>
                  <a:t>(B-V)</a:t>
                </a:r>
                <a:endParaRPr lang="en-AU" sz="1100" b="1"/>
              </a:p>
            </c:rich>
          </c:tx>
          <c:layout>
            <c:manualLayout>
              <c:xMode val="edge"/>
              <c:yMode val="edge"/>
              <c:x val="0.95144824920140791"/>
              <c:y val="0.4537686205539214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073536"/>
        <c:crosses val="max"/>
        <c:crossBetween val="midCat"/>
      </c:valAx>
      <c:spPr>
        <a:solidFill>
          <a:schemeClr val="bg1"/>
        </a:solidFill>
        <a:ln w="3175">
          <a:solidFill>
            <a:srgbClr val="B3B3B3"/>
          </a:solidFill>
          <a:prstDash val="solid"/>
        </a:ln>
      </c:spPr>
    </c:plotArea>
    <c:plotVisOnly val="1"/>
    <c:dispBlanksAs val="span"/>
    <c:showDLblsOverMax val="0"/>
  </c:chart>
  <c:spPr>
    <a:solidFill>
      <a:schemeClr val="bg1">
        <a:lumMod val="95000"/>
      </a:schemeClr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b="1"/>
              <a:t>Residual Mag vs. (B-V)</a:t>
            </a:r>
          </a:p>
        </c:rich>
      </c:tx>
      <c:layout>
        <c:manualLayout>
          <c:xMode val="edge"/>
          <c:yMode val="edge"/>
          <c:x val="0.31303421977913137"/>
          <c:y val="3.64076500799947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0198490813648291E-2"/>
          <c:y val="0.11974794953843779"/>
          <c:w val="0.7945270903637045"/>
          <c:h val="0.7452090584692265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chemeClr val="accent2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15741727596550431"/>
                  <c:y val="0.17988556134656969"/>
                </c:manualLayout>
              </c:layout>
              <c:numFmt formatCode="#,##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Calculations!$I$27:$N$27</c:f>
              <c:numCache>
                <c:formatCode>0.000</c:formatCode>
                <c:ptCount val="6"/>
                <c:pt idx="0">
                  <c:v>-6.9000000000000006E-2</c:v>
                </c:pt>
                <c:pt idx="1">
                  <c:v>0.624</c:v>
                </c:pt>
                <c:pt idx="2">
                  <c:v>8.7999999999999995E-2</c:v>
                </c:pt>
                <c:pt idx="3">
                  <c:v>0.43</c:v>
                </c:pt>
                <c:pt idx="4">
                  <c:v>1.4319999999999999</c:v>
                </c:pt>
                <c:pt idx="5">
                  <c:v>0.23200000000000001</c:v>
                </c:pt>
              </c:numCache>
            </c:numRef>
          </c:xVal>
          <c:yVal>
            <c:numRef>
              <c:f>Calculations!$I$46:$N$46</c:f>
              <c:numCache>
                <c:formatCode>0.000</c:formatCode>
                <c:ptCount val="6"/>
                <c:pt idx="0">
                  <c:v>1.6695169476692584E-2</c:v>
                </c:pt>
                <c:pt idx="1">
                  <c:v>-3.7272883729073669E-3</c:v>
                </c:pt>
                <c:pt idx="2">
                  <c:v>1.6995332827720588E-3</c:v>
                </c:pt>
                <c:pt idx="3">
                  <c:v>-2.6417393967681058E-2</c:v>
                </c:pt>
                <c:pt idx="4">
                  <c:v>9.9680998774855922E-3</c:v>
                </c:pt>
                <c:pt idx="5">
                  <c:v>1.7818797036346368E-3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076336"/>
        <c:axId val="834076896"/>
      </c:scatterChart>
      <c:valAx>
        <c:axId val="834076336"/>
        <c:scaling>
          <c:orientation val="minMax"/>
        </c:scaling>
        <c:delete val="0"/>
        <c:axPos val="b"/>
        <c:majorGridlines>
          <c:spPr>
            <a:ln w="3175">
              <a:noFill/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(B-V)</a:t>
                </a:r>
              </a:p>
            </c:rich>
          </c:tx>
          <c:layout>
            <c:manualLayout>
              <c:xMode val="edge"/>
              <c:yMode val="edge"/>
              <c:x val="0.40789604424446946"/>
              <c:y val="0.925343488501447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076896"/>
        <c:crossesAt val="-0.1"/>
        <c:crossBetween val="midCat"/>
      </c:valAx>
      <c:valAx>
        <c:axId val="834076896"/>
        <c:scaling>
          <c:orientation val="minMax"/>
          <c:max val="0.1"/>
          <c:min val="-0.1"/>
        </c:scaling>
        <c:delete val="0"/>
        <c:axPos val="r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Residual Mag</a:t>
                </a:r>
              </a:p>
            </c:rich>
          </c:tx>
          <c:layout>
            <c:manualLayout>
              <c:xMode val="edge"/>
              <c:yMode val="edge"/>
              <c:x val="0.94481156836527513"/>
              <c:y val="0.3980582048229918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076336"/>
        <c:crosses val="max"/>
        <c:crossBetween val="midCat"/>
      </c:valAx>
      <c:spPr>
        <a:solidFill>
          <a:schemeClr val="bg1"/>
        </a:solidFill>
        <a:ln w="3175">
          <a:solidFill>
            <a:srgbClr val="B3B3B3"/>
          </a:solidFill>
          <a:prstDash val="solid"/>
        </a:ln>
      </c:spPr>
    </c:plotArea>
    <c:plotVisOnly val="1"/>
    <c:dispBlanksAs val="span"/>
    <c:showDLblsOverMax val="0"/>
  </c:chart>
  <c:spPr>
    <a:solidFill>
      <a:schemeClr val="bg1">
        <a:lumMod val="95000"/>
      </a:schemeClr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b="1"/>
              <a:t>Residual Mag vs. Air Mass</a:t>
            </a:r>
          </a:p>
        </c:rich>
      </c:tx>
      <c:layout>
        <c:manualLayout>
          <c:xMode val="edge"/>
          <c:yMode val="edge"/>
          <c:x val="0.30531722768935221"/>
          <c:y val="3.65853306798188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994152046783629E-2"/>
          <c:y val="0.11701712017696289"/>
          <c:w val="0.79737463738085357"/>
          <c:h val="0.750780090739102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25577496891835888"/>
                  <c:y val="0.18354489608635713"/>
                </c:manualLayout>
              </c:layout>
              <c:numFmt formatCode="#,##0.0000" sourceLinked="0"/>
            </c:trendlineLbl>
          </c:trendline>
          <c:xVal>
            <c:numRef>
              <c:f>Calculations!$I$33:$N$33</c:f>
              <c:numCache>
                <c:formatCode>0.000</c:formatCode>
                <c:ptCount val="6"/>
                <c:pt idx="0">
                  <c:v>1.0163484912221121</c:v>
                </c:pt>
                <c:pt idx="1">
                  <c:v>1.0375561809801901</c:v>
                </c:pt>
                <c:pt idx="2">
                  <c:v>1.0313115467851417</c:v>
                </c:pt>
                <c:pt idx="3">
                  <c:v>1.0221445856452498</c:v>
                </c:pt>
                <c:pt idx="4">
                  <c:v>1.0229325599605743</c:v>
                </c:pt>
                <c:pt idx="5">
                  <c:v>1.0280960959324759</c:v>
                </c:pt>
              </c:numCache>
            </c:numRef>
          </c:xVal>
          <c:yVal>
            <c:numRef>
              <c:f>Calculations!$I$46:$N$46</c:f>
              <c:numCache>
                <c:formatCode>0.000</c:formatCode>
                <c:ptCount val="6"/>
                <c:pt idx="0">
                  <c:v>1.6695169476692584E-2</c:v>
                </c:pt>
                <c:pt idx="1">
                  <c:v>-3.7272883729073669E-3</c:v>
                </c:pt>
                <c:pt idx="2">
                  <c:v>1.6995332827720588E-3</c:v>
                </c:pt>
                <c:pt idx="3">
                  <c:v>-2.6417393967681058E-2</c:v>
                </c:pt>
                <c:pt idx="4">
                  <c:v>9.9680998774855922E-3</c:v>
                </c:pt>
                <c:pt idx="5">
                  <c:v>1.7818797036346368E-3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48880"/>
        <c:axId val="834249440"/>
      </c:scatterChart>
      <c:valAx>
        <c:axId val="834248880"/>
        <c:scaling>
          <c:orientation val="minMax"/>
        </c:scaling>
        <c:delete val="0"/>
        <c:axPos val="b"/>
        <c:majorGridlines>
          <c:spPr>
            <a:ln w="3175">
              <a:noFill/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Air Mass</a:t>
                </a:r>
              </a:p>
            </c:rich>
          </c:tx>
          <c:layout>
            <c:manualLayout>
              <c:xMode val="edge"/>
              <c:yMode val="edge"/>
              <c:x val="0.39416332826817707"/>
              <c:y val="0.9248372702936182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249440"/>
        <c:crossesAt val="-0.1"/>
        <c:crossBetween val="midCat"/>
      </c:valAx>
      <c:valAx>
        <c:axId val="834249440"/>
        <c:scaling>
          <c:orientation val="minMax"/>
          <c:max val="0.1"/>
          <c:min val="-0.1"/>
        </c:scaling>
        <c:delete val="0"/>
        <c:axPos val="r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Residual Mag</a:t>
                </a:r>
              </a:p>
            </c:rich>
          </c:tx>
          <c:layout>
            <c:manualLayout>
              <c:xMode val="edge"/>
              <c:yMode val="edge"/>
              <c:x val="0.94687506623581119"/>
              <c:y val="0.397562227798448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248880"/>
        <c:crosses val="max"/>
        <c:crossBetween val="midCat"/>
      </c:valAx>
      <c:spPr>
        <a:solidFill>
          <a:schemeClr val="bg1"/>
        </a:solidFill>
        <a:ln w="3175">
          <a:solidFill>
            <a:srgbClr val="B3B3B3"/>
          </a:solidFill>
          <a:prstDash val="solid"/>
        </a:ln>
      </c:spPr>
    </c:plotArea>
    <c:plotVisOnly val="1"/>
    <c:dispBlanksAs val="span"/>
    <c:showDLblsOverMax val="0"/>
  </c:chart>
  <c:spPr>
    <a:solidFill>
      <a:schemeClr val="bg1">
        <a:lumMod val="95000"/>
      </a:schemeClr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b="1"/>
              <a:t>Residual Mag vs. X(B-V)</a:t>
            </a:r>
          </a:p>
        </c:rich>
      </c:tx>
      <c:layout>
        <c:manualLayout>
          <c:xMode val="edge"/>
          <c:yMode val="edge"/>
          <c:x val="0.32561283613133268"/>
          <c:y val="3.64076605808889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0789473684210528E-2"/>
          <c:y val="0.11974794953843779"/>
          <c:w val="0.80027052539485199"/>
          <c:h val="0.7414950369559762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chemeClr val="accent2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1991135976424001"/>
                  <c:y val="0.1742800208453113"/>
                </c:manualLayout>
              </c:layout>
              <c:numFmt formatCode="#,##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Calculations!$I$34:$N$34</c:f>
              <c:numCache>
                <c:formatCode>0.000</c:formatCode>
                <c:ptCount val="6"/>
                <c:pt idx="0">
                  <c:v>-7.0128045894325738E-2</c:v>
                </c:pt>
                <c:pt idx="1">
                  <c:v>0.64743505693163861</c:v>
                </c:pt>
                <c:pt idx="2">
                  <c:v>9.0755416117092466E-2</c:v>
                </c:pt>
                <c:pt idx="3">
                  <c:v>0.4395221718274574</c:v>
                </c:pt>
                <c:pt idx="4">
                  <c:v>1.4648394258635424</c:v>
                </c:pt>
                <c:pt idx="5">
                  <c:v>0.23851829425633442</c:v>
                </c:pt>
              </c:numCache>
            </c:numRef>
          </c:xVal>
          <c:yVal>
            <c:numRef>
              <c:f>Calculations!$I$46:$N$46</c:f>
              <c:numCache>
                <c:formatCode>0.000</c:formatCode>
                <c:ptCount val="6"/>
                <c:pt idx="0">
                  <c:v>1.6695169476692584E-2</c:v>
                </c:pt>
                <c:pt idx="1">
                  <c:v>-3.7272883729073669E-3</c:v>
                </c:pt>
                <c:pt idx="2">
                  <c:v>1.6995332827720588E-3</c:v>
                </c:pt>
                <c:pt idx="3">
                  <c:v>-2.6417393967681058E-2</c:v>
                </c:pt>
                <c:pt idx="4">
                  <c:v>9.9680998774855922E-3</c:v>
                </c:pt>
                <c:pt idx="5">
                  <c:v>1.7818797036346368E-3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769824"/>
        <c:axId val="834770384"/>
      </c:scatterChart>
      <c:valAx>
        <c:axId val="834769824"/>
        <c:scaling>
          <c:orientation val="minMax"/>
        </c:scaling>
        <c:delete val="0"/>
        <c:axPos val="b"/>
        <c:majorGridlines>
          <c:spPr>
            <a:ln w="3175">
              <a:noFill/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X(B-V)</a:t>
                </a:r>
              </a:p>
            </c:rich>
          </c:tx>
          <c:layout>
            <c:manualLayout>
              <c:xMode val="edge"/>
              <c:yMode val="edge"/>
              <c:x val="0.40789611824837685"/>
              <c:y val="0.9216294669881975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770384"/>
        <c:crossesAt val="-0.1"/>
        <c:crossBetween val="midCat"/>
      </c:valAx>
      <c:valAx>
        <c:axId val="834770384"/>
        <c:scaling>
          <c:orientation val="minMax"/>
          <c:max val="0.1"/>
          <c:min val="-0.1"/>
        </c:scaling>
        <c:delete val="0"/>
        <c:axPos val="r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Residual Mag</a:t>
                </a:r>
              </a:p>
            </c:rich>
          </c:tx>
          <c:layout>
            <c:manualLayout>
              <c:xMode val="edge"/>
              <c:yMode val="edge"/>
              <c:x val="0.94481156836527513"/>
              <c:y val="0.3980583196331227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769824"/>
        <c:crosses val="max"/>
        <c:crossBetween val="midCat"/>
      </c:valAx>
      <c:spPr>
        <a:solidFill>
          <a:schemeClr val="bg1"/>
        </a:solidFill>
        <a:ln w="3175">
          <a:solidFill>
            <a:srgbClr val="B3B3B3"/>
          </a:solidFill>
          <a:prstDash val="solid"/>
        </a:ln>
      </c:spPr>
    </c:plotArea>
    <c:plotVisOnly val="1"/>
    <c:dispBlanksAs val="span"/>
    <c:showDLblsOverMax val="0"/>
  </c:chart>
  <c:spPr>
    <a:solidFill>
      <a:schemeClr val="bg1">
        <a:lumMod val="95000"/>
      </a:schemeClr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trlProps/ctrlProp1.xml><?xml version="1.0" encoding="utf-8"?>
<formControlPr xmlns="http://schemas.microsoft.com/office/spreadsheetml/2009/9/main" objectType="Spin" dx="20" fmlaLink="$C$40" max="3" min="1" page="10" val="2"/>
</file>

<file path=xl/ctrlProps/ctrlProp2.xml><?xml version="1.0" encoding="utf-8"?>
<formControlPr xmlns="http://schemas.microsoft.com/office/spreadsheetml/2009/9/main" objectType="Spin" dx="20" fmlaLink="$A$40" max="2" page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36</xdr:row>
          <xdr:rowOff>0</xdr:rowOff>
        </xdr:from>
        <xdr:to>
          <xdr:col>3</xdr:col>
          <xdr:colOff>314325</xdr:colOff>
          <xdr:row>39</xdr:row>
          <xdr:rowOff>19050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36</xdr:row>
          <xdr:rowOff>0</xdr:rowOff>
        </xdr:from>
        <xdr:to>
          <xdr:col>1</xdr:col>
          <xdr:colOff>314325</xdr:colOff>
          <xdr:row>39</xdr:row>
          <xdr:rowOff>19050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4</xdr:col>
      <xdr:colOff>0</xdr:colOff>
      <xdr:row>19</xdr:row>
      <xdr:rowOff>171449</xdr:rowOff>
    </xdr:to>
    <xdr:graphicFrame macro="">
      <xdr:nvGraphicFramePr>
        <xdr:cNvPr id="1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8</xdr:col>
      <xdr:colOff>0</xdr:colOff>
      <xdr:row>19</xdr:row>
      <xdr:rowOff>171449</xdr:rowOff>
    </xdr:to>
    <xdr:graphicFrame macro="">
      <xdr:nvGraphicFramePr>
        <xdr:cNvPr id="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</xdr:colOff>
      <xdr:row>0</xdr:row>
      <xdr:rowOff>0</xdr:rowOff>
    </xdr:from>
    <xdr:to>
      <xdr:col>12</xdr:col>
      <xdr:colOff>1</xdr:colOff>
      <xdr:row>19</xdr:row>
      <xdr:rowOff>171449</xdr:rowOff>
    </xdr:to>
    <xdr:graphicFrame macro="">
      <xdr:nvGraphicFramePr>
        <xdr:cNvPr id="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</xdr:colOff>
      <xdr:row>0</xdr:row>
      <xdr:rowOff>0</xdr:rowOff>
    </xdr:from>
    <xdr:to>
      <xdr:col>16</xdr:col>
      <xdr:colOff>1</xdr:colOff>
      <xdr:row>19</xdr:row>
      <xdr:rowOff>171449</xdr:rowOff>
    </xdr:to>
    <xdr:graphicFrame macro="">
      <xdr:nvGraphicFramePr>
        <xdr:cNvPr id="1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el_Cir_seq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l_Cir_seq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zoomScale="80" zoomScaleNormal="80" workbookViewId="0">
      <selection activeCell="G6" sqref="G6"/>
    </sheetView>
  </sheetViews>
  <sheetFormatPr defaultRowHeight="12.75" x14ac:dyDescent="0.2"/>
  <cols>
    <col min="1" max="1" width="27.42578125" customWidth="1"/>
    <col min="2" max="2" width="14.7109375" customWidth="1"/>
    <col min="3" max="3" width="13.7109375" bestFit="1" customWidth="1"/>
    <col min="4" max="27" width="12.7109375" customWidth="1"/>
  </cols>
  <sheetData>
    <row r="1" spans="1:27" ht="47.25" x14ac:dyDescent="0.25">
      <c r="A1" s="258" t="s">
        <v>0</v>
      </c>
      <c r="B1" s="259"/>
      <c r="C1" s="258" t="s">
        <v>53</v>
      </c>
      <c r="D1" s="260" t="s">
        <v>52</v>
      </c>
      <c r="E1" s="261" t="s">
        <v>51</v>
      </c>
      <c r="F1" s="261" t="s">
        <v>63</v>
      </c>
      <c r="G1" s="260" t="s">
        <v>64</v>
      </c>
      <c r="H1" s="260" t="s">
        <v>65</v>
      </c>
      <c r="I1" s="260" t="s">
        <v>66</v>
      </c>
      <c r="J1" s="262" t="s">
        <v>67</v>
      </c>
      <c r="K1" s="263" t="s">
        <v>68</v>
      </c>
    </row>
    <row r="2" spans="1:27" x14ac:dyDescent="0.2">
      <c r="A2" s="159" t="s">
        <v>1</v>
      </c>
      <c r="B2" s="214" t="s">
        <v>46</v>
      </c>
      <c r="C2" s="169" t="s">
        <v>54</v>
      </c>
      <c r="D2" s="276" t="s">
        <v>105</v>
      </c>
      <c r="E2" s="277" t="s">
        <v>106</v>
      </c>
      <c r="F2" s="277" t="s">
        <v>107</v>
      </c>
      <c r="G2" s="278" t="s">
        <v>108</v>
      </c>
      <c r="H2" s="278" t="s">
        <v>109</v>
      </c>
      <c r="I2" s="278" t="s">
        <v>110</v>
      </c>
      <c r="J2" s="278" t="s">
        <v>111</v>
      </c>
      <c r="K2" s="279" t="s">
        <v>112</v>
      </c>
    </row>
    <row r="3" spans="1:27" x14ac:dyDescent="0.2">
      <c r="A3" s="61" t="s">
        <v>76</v>
      </c>
      <c r="B3" s="255">
        <v>0</v>
      </c>
      <c r="C3" s="169" t="s">
        <v>11</v>
      </c>
      <c r="D3" s="280">
        <v>261.42</v>
      </c>
      <c r="E3" s="197">
        <v>261.18</v>
      </c>
      <c r="F3" s="197">
        <v>264.53500000000003</v>
      </c>
      <c r="G3" s="197">
        <v>259.67500000000001</v>
      </c>
      <c r="H3" s="197">
        <v>260.21100000000001</v>
      </c>
      <c r="I3" s="197">
        <v>261.88600000000002</v>
      </c>
      <c r="J3" s="197">
        <v>264.173</v>
      </c>
      <c r="K3" s="198">
        <v>259.85300000000001</v>
      </c>
    </row>
    <row r="4" spans="1:27" ht="25.5" x14ac:dyDescent="0.2">
      <c r="A4" s="61" t="s">
        <v>2</v>
      </c>
      <c r="B4" s="252" t="s">
        <v>3</v>
      </c>
      <c r="C4" s="256" t="s">
        <v>12</v>
      </c>
      <c r="D4" s="280">
        <v>-44.779000000000003</v>
      </c>
      <c r="E4" s="197">
        <v>-45.008000000000003</v>
      </c>
      <c r="F4" s="197">
        <v>-42.88</v>
      </c>
      <c r="G4" s="197">
        <v>-46.798999999999999</v>
      </c>
      <c r="H4" s="197">
        <v>-45.420999999999999</v>
      </c>
      <c r="I4" s="197">
        <v>-43.542999999999999</v>
      </c>
      <c r="J4" s="197">
        <v>-44.878999999999998</v>
      </c>
      <c r="K4" s="198">
        <v>-44.222999999999999</v>
      </c>
    </row>
    <row r="5" spans="1:27" x14ac:dyDescent="0.2">
      <c r="A5" s="61" t="s">
        <v>7</v>
      </c>
      <c r="B5" s="203">
        <v>-33.891109999999998</v>
      </c>
      <c r="C5" s="256" t="s">
        <v>13</v>
      </c>
      <c r="D5" s="281"/>
      <c r="E5" s="197">
        <v>6.6559999999999997</v>
      </c>
      <c r="F5" s="197">
        <v>6.0910000000000002</v>
      </c>
      <c r="G5" s="197">
        <v>7.2130000000000001</v>
      </c>
      <c r="H5" s="197">
        <v>7.2519999999999998</v>
      </c>
      <c r="I5" s="197">
        <v>7.2539999999999996</v>
      </c>
      <c r="J5" s="197">
        <v>7.383</v>
      </c>
      <c r="K5" s="198">
        <v>6.6440000000000001</v>
      </c>
    </row>
    <row r="6" spans="1:27" x14ac:dyDescent="0.2">
      <c r="A6" s="61" t="s">
        <v>8</v>
      </c>
      <c r="B6" s="203">
        <v>151</v>
      </c>
      <c r="C6" s="256" t="s">
        <v>14</v>
      </c>
      <c r="D6" s="280">
        <v>1.248</v>
      </c>
      <c r="E6" s="197">
        <v>0.38200000000000001</v>
      </c>
      <c r="F6" s="197">
        <v>-6.9000000000000006E-2</v>
      </c>
      <c r="G6" s="197">
        <v>0.624</v>
      </c>
      <c r="H6" s="197">
        <v>8.7999999999999995E-2</v>
      </c>
      <c r="I6" s="197">
        <v>0.43</v>
      </c>
      <c r="J6" s="197">
        <v>1.4319999999999999</v>
      </c>
      <c r="K6" s="198">
        <v>0.23200000000000001</v>
      </c>
    </row>
    <row r="7" spans="1:27" x14ac:dyDescent="0.2">
      <c r="A7" s="64"/>
      <c r="B7" s="212"/>
      <c r="C7" s="257" t="s">
        <v>89</v>
      </c>
      <c r="D7" s="282">
        <v>0.625</v>
      </c>
      <c r="E7" s="199">
        <v>0.223</v>
      </c>
      <c r="F7" s="199">
        <v>-1.7000000000000001E-2</v>
      </c>
      <c r="G7" s="199">
        <v>0.41499999999999998</v>
      </c>
      <c r="H7" s="199">
        <v>2.9000000000000001E-2</v>
      </c>
      <c r="I7" s="199">
        <v>0.254</v>
      </c>
      <c r="J7" s="199">
        <v>0.76400000000000001</v>
      </c>
      <c r="K7" s="200">
        <v>0.13400000000000001</v>
      </c>
    </row>
    <row r="8" spans="1:27" s="202" customFormat="1" x14ac:dyDescent="0.2">
      <c r="A8" s="12"/>
      <c r="B8" s="201"/>
      <c r="C8" s="176"/>
      <c r="D8" s="37"/>
      <c r="E8" s="37"/>
      <c r="F8" s="37"/>
      <c r="G8" s="37"/>
      <c r="H8" s="37"/>
      <c r="I8" s="37"/>
      <c r="J8" s="37"/>
      <c r="K8" s="37"/>
    </row>
    <row r="9" spans="1:27" ht="31.5" x14ac:dyDescent="0.25">
      <c r="A9" s="148" t="s">
        <v>55</v>
      </c>
      <c r="B9" s="67" t="s">
        <v>48</v>
      </c>
      <c r="C9" s="50"/>
      <c r="D9" s="50"/>
      <c r="E9" s="51"/>
      <c r="F9" s="51"/>
      <c r="G9" s="52" t="s">
        <v>86</v>
      </c>
      <c r="H9" s="51"/>
      <c r="I9" s="51"/>
      <c r="J9" s="51"/>
      <c r="K9" s="38"/>
      <c r="L9" s="51"/>
      <c r="M9" s="51"/>
      <c r="N9" s="51"/>
      <c r="O9" s="52" t="s">
        <v>88</v>
      </c>
      <c r="P9" s="51"/>
      <c r="Q9" s="51"/>
      <c r="R9" s="51"/>
      <c r="S9" s="51"/>
      <c r="T9" s="50"/>
      <c r="U9" s="51"/>
      <c r="V9" s="51"/>
      <c r="W9" s="52" t="s">
        <v>87</v>
      </c>
      <c r="X9" s="51"/>
      <c r="Y9" s="51"/>
      <c r="Z9" s="51"/>
      <c r="AA9" s="38"/>
    </row>
    <row r="10" spans="1:27" x14ac:dyDescent="0.2">
      <c r="A10" s="112"/>
      <c r="B10" s="105" t="s">
        <v>73</v>
      </c>
      <c r="C10" s="64" t="s">
        <v>37</v>
      </c>
      <c r="D10" s="64" t="s">
        <v>52</v>
      </c>
      <c r="E10" s="106" t="s">
        <v>51</v>
      </c>
      <c r="F10" s="104" t="s">
        <v>63</v>
      </c>
      <c r="G10" s="106" t="s">
        <v>64</v>
      </c>
      <c r="H10" s="106" t="s">
        <v>65</v>
      </c>
      <c r="I10" s="106" t="s">
        <v>66</v>
      </c>
      <c r="J10" s="93" t="s">
        <v>67</v>
      </c>
      <c r="K10" s="105" t="s">
        <v>68</v>
      </c>
      <c r="L10" s="106" t="s">
        <v>52</v>
      </c>
      <c r="M10" s="106" t="s">
        <v>51</v>
      </c>
      <c r="N10" s="104" t="s">
        <v>63</v>
      </c>
      <c r="O10" s="106" t="s">
        <v>64</v>
      </c>
      <c r="P10" s="106" t="s">
        <v>65</v>
      </c>
      <c r="Q10" s="106" t="s">
        <v>66</v>
      </c>
      <c r="R10" s="93" t="s">
        <v>67</v>
      </c>
      <c r="S10" s="106" t="s">
        <v>68</v>
      </c>
      <c r="T10" s="64" t="s">
        <v>52</v>
      </c>
      <c r="U10" s="106" t="s">
        <v>51</v>
      </c>
      <c r="V10" s="104" t="s">
        <v>63</v>
      </c>
      <c r="W10" s="106" t="s">
        <v>64</v>
      </c>
      <c r="X10" s="106" t="s">
        <v>65</v>
      </c>
      <c r="Y10" s="106" t="s">
        <v>66</v>
      </c>
      <c r="Z10" s="93" t="s">
        <v>67</v>
      </c>
      <c r="AA10" s="105" t="s">
        <v>68</v>
      </c>
    </row>
    <row r="11" spans="1:27" x14ac:dyDescent="0.2">
      <c r="A11" s="86"/>
      <c r="B11" s="102">
        <v>1</v>
      </c>
      <c r="C11" s="191">
        <v>2456908.86616319</v>
      </c>
      <c r="D11" s="192">
        <v>14.44</v>
      </c>
      <c r="E11" s="192">
        <v>12.897</v>
      </c>
      <c r="F11" s="192">
        <v>12.025</v>
      </c>
      <c r="G11" s="192">
        <v>13.63</v>
      </c>
      <c r="H11" s="192">
        <v>13.292999999999999</v>
      </c>
      <c r="I11" s="192">
        <v>13.544</v>
      </c>
      <c r="J11" s="197">
        <v>14.292999999999999</v>
      </c>
      <c r="K11" s="193">
        <v>12.786</v>
      </c>
      <c r="L11" s="192">
        <v>13.818999999999999</v>
      </c>
      <c r="M11" s="192">
        <v>12.669499999999999</v>
      </c>
      <c r="N11" s="192">
        <v>12.035499999999999</v>
      </c>
      <c r="O11" s="192">
        <v>13.266500000000001</v>
      </c>
      <c r="P11" s="192">
        <v>13.249000000000001</v>
      </c>
      <c r="Q11" s="192">
        <v>13.332000000000001</v>
      </c>
      <c r="R11" s="197">
        <v>13.548500000000001</v>
      </c>
      <c r="S11" s="193">
        <v>12.643000000000001</v>
      </c>
      <c r="T11" s="192">
        <v>14.48</v>
      </c>
      <c r="U11" s="192">
        <v>13.724</v>
      </c>
      <c r="V11" s="192">
        <v>13.257999999999999</v>
      </c>
      <c r="W11" s="192">
        <v>14.101000000000001</v>
      </c>
      <c r="X11" s="192">
        <v>14.409000000000001</v>
      </c>
      <c r="Y11" s="192">
        <v>14.321999999999999</v>
      </c>
      <c r="Z11" s="197">
        <v>14.147</v>
      </c>
      <c r="AA11" s="193">
        <v>13.743</v>
      </c>
    </row>
    <row r="12" spans="1:27" x14ac:dyDescent="0.2">
      <c r="A12" s="86"/>
      <c r="B12" s="102">
        <v>2</v>
      </c>
      <c r="C12" s="191">
        <v>2456908.8666724502</v>
      </c>
      <c r="D12" s="192">
        <v>14.51</v>
      </c>
      <c r="E12" s="192">
        <v>12.888999999999999</v>
      </c>
      <c r="F12" s="192">
        <v>12.045999999999999</v>
      </c>
      <c r="G12" s="192">
        <v>13.631</v>
      </c>
      <c r="H12" s="192">
        <v>13.31</v>
      </c>
      <c r="I12" s="192">
        <v>13.568</v>
      </c>
      <c r="J12" s="192">
        <v>14.32</v>
      </c>
      <c r="K12" s="193">
        <v>12.787000000000001</v>
      </c>
      <c r="L12" s="192">
        <v>13.8225</v>
      </c>
      <c r="M12" s="192">
        <v>12.679</v>
      </c>
      <c r="N12" s="192">
        <v>12.053000000000001</v>
      </c>
      <c r="O12" s="192">
        <v>13.265499999999999</v>
      </c>
      <c r="P12" s="192">
        <v>13.2585</v>
      </c>
      <c r="Q12" s="192">
        <v>13.3345</v>
      </c>
      <c r="R12" s="192">
        <v>13.561500000000001</v>
      </c>
      <c r="S12" s="193">
        <v>12.6455</v>
      </c>
      <c r="T12" s="192">
        <v>14.526</v>
      </c>
      <c r="U12" s="192">
        <v>13.727</v>
      </c>
      <c r="V12" s="192">
        <v>13.273999999999999</v>
      </c>
      <c r="W12" s="192">
        <v>14.122999999999999</v>
      </c>
      <c r="X12" s="192">
        <v>14.443</v>
      </c>
      <c r="Y12" s="192">
        <v>14.358000000000001</v>
      </c>
      <c r="Z12" s="192">
        <v>14.156000000000001</v>
      </c>
      <c r="AA12" s="193">
        <v>13.723000000000001</v>
      </c>
    </row>
    <row r="13" spans="1:27" x14ac:dyDescent="0.2">
      <c r="A13" s="86"/>
      <c r="B13" s="102">
        <v>3</v>
      </c>
      <c r="C13" s="191">
        <v>2456908.86718171</v>
      </c>
      <c r="D13" s="192">
        <v>14.452</v>
      </c>
      <c r="E13" s="192">
        <v>12.891</v>
      </c>
      <c r="F13" s="192">
        <v>12.028</v>
      </c>
      <c r="G13" s="192">
        <v>13.637</v>
      </c>
      <c r="H13" s="192">
        <v>13.284000000000001</v>
      </c>
      <c r="I13" s="192">
        <v>13.558</v>
      </c>
      <c r="J13" s="192">
        <v>14.298999999999999</v>
      </c>
      <c r="K13" s="193">
        <v>12.798999999999999</v>
      </c>
      <c r="L13" s="192">
        <v>13.791</v>
      </c>
      <c r="M13" s="192">
        <v>12.664999999999999</v>
      </c>
      <c r="N13" s="192">
        <v>12.036999999999999</v>
      </c>
      <c r="O13" s="192">
        <v>13.289</v>
      </c>
      <c r="P13" s="192">
        <v>13.223500000000001</v>
      </c>
      <c r="Q13" s="192">
        <v>13.2935</v>
      </c>
      <c r="R13" s="192">
        <v>13.534500000000001</v>
      </c>
      <c r="S13" s="193">
        <v>12.6515</v>
      </c>
      <c r="T13" s="192">
        <v>14.462</v>
      </c>
      <c r="U13" s="192">
        <v>13.711</v>
      </c>
      <c r="V13" s="192">
        <v>13.253</v>
      </c>
      <c r="W13" s="192">
        <v>14.164999999999999</v>
      </c>
      <c r="X13" s="192">
        <v>14.396000000000001</v>
      </c>
      <c r="Y13" s="192">
        <v>14.32</v>
      </c>
      <c r="Z13" s="192">
        <v>14.134</v>
      </c>
      <c r="AA13" s="193">
        <v>13.760999999999999</v>
      </c>
    </row>
    <row r="14" spans="1:27" x14ac:dyDescent="0.2">
      <c r="A14" s="86"/>
      <c r="B14" s="102">
        <v>4</v>
      </c>
      <c r="C14" s="191">
        <v>2456908.8676909702</v>
      </c>
      <c r="D14" s="192">
        <v>14.478999999999999</v>
      </c>
      <c r="E14" s="192">
        <v>12.891</v>
      </c>
      <c r="F14" s="192">
        <v>12.028</v>
      </c>
      <c r="G14" s="192">
        <v>13.603999999999999</v>
      </c>
      <c r="H14" s="192">
        <v>13.304</v>
      </c>
      <c r="I14" s="192">
        <v>13.561</v>
      </c>
      <c r="J14" s="192">
        <v>14.311</v>
      </c>
      <c r="K14" s="193">
        <v>12.794</v>
      </c>
      <c r="L14" s="192">
        <v>13.817499999999999</v>
      </c>
      <c r="M14" s="192">
        <v>12.6685</v>
      </c>
      <c r="N14" s="192">
        <v>12.032999999999999</v>
      </c>
      <c r="O14" s="192">
        <v>13.2805</v>
      </c>
      <c r="P14" s="192">
        <v>13.244499999999999</v>
      </c>
      <c r="Q14" s="192">
        <v>13.307</v>
      </c>
      <c r="R14" s="192">
        <v>13.545500000000001</v>
      </c>
      <c r="S14" s="193">
        <v>12.647</v>
      </c>
      <c r="T14" s="192">
        <v>14.503</v>
      </c>
      <c r="U14" s="192">
        <v>13.718</v>
      </c>
      <c r="V14" s="192">
        <v>13.25</v>
      </c>
      <c r="W14" s="192">
        <v>14.15</v>
      </c>
      <c r="X14" s="192">
        <v>14.412000000000001</v>
      </c>
      <c r="Y14" s="192">
        <v>14.314</v>
      </c>
      <c r="Z14" s="192">
        <v>14.164999999999999</v>
      </c>
      <c r="AA14" s="193">
        <v>13.725</v>
      </c>
    </row>
    <row r="15" spans="1:27" x14ac:dyDescent="0.2">
      <c r="A15" s="86"/>
      <c r="B15" s="102">
        <v>5</v>
      </c>
      <c r="C15" s="191">
        <v>2456908.8682002299</v>
      </c>
      <c r="D15" s="192">
        <v>14.521000000000001</v>
      </c>
      <c r="E15" s="192">
        <v>12.903</v>
      </c>
      <c r="F15" s="192">
        <v>12.013999999999999</v>
      </c>
      <c r="G15" s="192">
        <v>13.619</v>
      </c>
      <c r="H15" s="192">
        <v>13.289</v>
      </c>
      <c r="I15" s="192">
        <v>13.545999999999999</v>
      </c>
      <c r="J15" s="192">
        <v>14.282999999999999</v>
      </c>
      <c r="K15" s="193">
        <v>12.788</v>
      </c>
      <c r="L15" s="192">
        <v>13.798500000000001</v>
      </c>
      <c r="M15" s="192">
        <v>12.692</v>
      </c>
      <c r="N15" s="192">
        <v>12.022500000000001</v>
      </c>
      <c r="O15" s="192">
        <v>13.276999999999999</v>
      </c>
      <c r="P15" s="192">
        <v>13.2285</v>
      </c>
      <c r="Q15" s="192">
        <v>13.32</v>
      </c>
      <c r="R15" s="192">
        <v>13.535</v>
      </c>
      <c r="S15" s="193">
        <v>12.640499999999999</v>
      </c>
      <c r="T15" s="192">
        <v>14.507</v>
      </c>
      <c r="U15" s="192">
        <v>13.717000000000001</v>
      </c>
      <c r="V15" s="192">
        <v>13.249000000000001</v>
      </c>
      <c r="W15" s="192">
        <v>14.167999999999999</v>
      </c>
      <c r="X15" s="192">
        <v>14.406000000000001</v>
      </c>
      <c r="Y15" s="192">
        <v>14.305999999999999</v>
      </c>
      <c r="Z15" s="192">
        <v>14.124000000000001</v>
      </c>
      <c r="AA15" s="193">
        <v>13.723000000000001</v>
      </c>
    </row>
    <row r="16" spans="1:27" x14ac:dyDescent="0.2">
      <c r="A16" s="86"/>
      <c r="B16" s="102">
        <v>6</v>
      </c>
      <c r="C16" s="191">
        <v>2456908.8687094902</v>
      </c>
      <c r="D16" s="192">
        <v>14.496</v>
      </c>
      <c r="E16" s="192">
        <v>12.91</v>
      </c>
      <c r="F16" s="192">
        <v>12.029</v>
      </c>
      <c r="G16" s="192">
        <v>13.634</v>
      </c>
      <c r="H16" s="192">
        <v>13.28</v>
      </c>
      <c r="I16" s="192">
        <v>13.558</v>
      </c>
      <c r="J16" s="192">
        <v>14.292</v>
      </c>
      <c r="K16" s="193">
        <v>12.797000000000001</v>
      </c>
      <c r="L16" s="192">
        <v>13.826000000000001</v>
      </c>
      <c r="M16" s="192">
        <v>12.679500000000001</v>
      </c>
      <c r="N16" s="192">
        <v>12.029499999999999</v>
      </c>
      <c r="O16" s="192">
        <v>13.282</v>
      </c>
      <c r="P16" s="192">
        <v>13.236000000000001</v>
      </c>
      <c r="Q16" s="192">
        <v>13.302</v>
      </c>
      <c r="R16" s="192">
        <v>13.548500000000001</v>
      </c>
      <c r="S16" s="193">
        <v>12.649000000000001</v>
      </c>
      <c r="T16" s="192">
        <v>14.545</v>
      </c>
      <c r="U16" s="192">
        <v>13.718</v>
      </c>
      <c r="V16" s="192">
        <v>13.25</v>
      </c>
      <c r="W16" s="192">
        <v>14.131</v>
      </c>
      <c r="X16" s="192">
        <v>14.419</v>
      </c>
      <c r="Y16" s="192">
        <v>14.311999999999999</v>
      </c>
      <c r="Z16" s="192">
        <v>14.146000000000001</v>
      </c>
      <c r="AA16" s="193">
        <v>13.73</v>
      </c>
    </row>
    <row r="17" spans="1:27" x14ac:dyDescent="0.2">
      <c r="A17" s="86"/>
      <c r="B17" s="102">
        <v>7</v>
      </c>
      <c r="C17" s="191">
        <v>2456908.8692303202</v>
      </c>
      <c r="D17" s="192">
        <v>14.509</v>
      </c>
      <c r="E17" s="192">
        <v>12.879</v>
      </c>
      <c r="F17" s="192">
        <v>12.034000000000001</v>
      </c>
      <c r="G17" s="192">
        <v>13.638999999999999</v>
      </c>
      <c r="H17" s="192">
        <v>13.288</v>
      </c>
      <c r="I17" s="192">
        <v>13.552</v>
      </c>
      <c r="J17" s="192">
        <v>14.292999999999999</v>
      </c>
      <c r="K17" s="193">
        <v>12.804</v>
      </c>
      <c r="L17" s="192">
        <v>13.814500000000001</v>
      </c>
      <c r="M17" s="192">
        <v>12.662500000000001</v>
      </c>
      <c r="N17" s="192">
        <v>12.039</v>
      </c>
      <c r="O17" s="192">
        <v>13.271000000000001</v>
      </c>
      <c r="P17" s="192">
        <v>13.218</v>
      </c>
      <c r="Q17" s="192">
        <v>13.309000000000001</v>
      </c>
      <c r="R17" s="192">
        <v>13.5535</v>
      </c>
      <c r="S17" s="193">
        <v>12.6585</v>
      </c>
      <c r="T17" s="192">
        <v>14.477</v>
      </c>
      <c r="U17" s="192">
        <v>13.698</v>
      </c>
      <c r="V17" s="192">
        <v>13.254</v>
      </c>
      <c r="W17" s="192">
        <v>14.132999999999999</v>
      </c>
      <c r="X17" s="192">
        <v>14.412000000000001</v>
      </c>
      <c r="Y17" s="192">
        <v>14.305</v>
      </c>
      <c r="Z17" s="192">
        <v>14.138999999999999</v>
      </c>
      <c r="AA17" s="193">
        <v>13.749000000000001</v>
      </c>
    </row>
    <row r="18" spans="1:27" x14ac:dyDescent="0.2">
      <c r="A18" s="86"/>
      <c r="B18" s="102">
        <v>8</v>
      </c>
      <c r="C18" s="191">
        <v>2456908.86973958</v>
      </c>
      <c r="D18" s="192">
        <v>14.416</v>
      </c>
      <c r="E18" s="192">
        <v>12.896000000000001</v>
      </c>
      <c r="F18" s="192">
        <v>12.05</v>
      </c>
      <c r="G18" s="192">
        <v>13.647</v>
      </c>
      <c r="H18" s="192">
        <v>13.294</v>
      </c>
      <c r="I18" s="192">
        <v>13.532999999999999</v>
      </c>
      <c r="J18" s="192">
        <v>14.3</v>
      </c>
      <c r="K18" s="193">
        <v>12.784000000000001</v>
      </c>
      <c r="L18" s="192">
        <v>13.82</v>
      </c>
      <c r="M18" s="192">
        <v>12.688500000000001</v>
      </c>
      <c r="N18" s="192">
        <v>12.047499999999999</v>
      </c>
      <c r="O18" s="192">
        <v>13.2745</v>
      </c>
      <c r="P18" s="192">
        <v>13.236000000000001</v>
      </c>
      <c r="Q18" s="192">
        <v>13.308</v>
      </c>
      <c r="R18" s="192">
        <v>13.564</v>
      </c>
      <c r="S18" s="193">
        <v>12.655999999999999</v>
      </c>
      <c r="T18" s="192">
        <v>14.484999999999999</v>
      </c>
      <c r="U18" s="192">
        <v>13.708</v>
      </c>
      <c r="V18" s="192">
        <v>13.269</v>
      </c>
      <c r="W18" s="192">
        <v>14.172000000000001</v>
      </c>
      <c r="X18" s="192">
        <v>14.426</v>
      </c>
      <c r="Y18" s="192">
        <v>14.32</v>
      </c>
      <c r="Z18" s="192">
        <v>14.11</v>
      </c>
      <c r="AA18" s="193">
        <v>13.731999999999999</v>
      </c>
    </row>
    <row r="19" spans="1:27" x14ac:dyDescent="0.2">
      <c r="A19" s="86"/>
      <c r="B19" s="102">
        <v>9</v>
      </c>
      <c r="C19" s="191">
        <v>2456908.8702488402</v>
      </c>
      <c r="D19" s="192">
        <v>14.47</v>
      </c>
      <c r="E19" s="192">
        <v>12.891</v>
      </c>
      <c r="F19" s="192">
        <v>12.026</v>
      </c>
      <c r="G19" s="192">
        <v>13.62</v>
      </c>
      <c r="H19" s="192">
        <v>13.282999999999999</v>
      </c>
      <c r="I19" s="192">
        <v>13.553000000000001</v>
      </c>
      <c r="J19" s="192">
        <v>14.276</v>
      </c>
      <c r="K19" s="193">
        <v>12.782999999999999</v>
      </c>
      <c r="L19" s="192">
        <v>13.8065</v>
      </c>
      <c r="M19" s="192">
        <v>12.678999999999998</v>
      </c>
      <c r="N19" s="192">
        <v>12.034500000000001</v>
      </c>
      <c r="O19" s="192">
        <v>13.281500000000001</v>
      </c>
      <c r="P19" s="192">
        <v>13.234</v>
      </c>
      <c r="Q19" s="192">
        <v>13.3085</v>
      </c>
      <c r="R19" s="192">
        <v>13.534500000000001</v>
      </c>
      <c r="S19" s="193">
        <v>12.645</v>
      </c>
      <c r="T19" s="192">
        <v>14.515000000000001</v>
      </c>
      <c r="U19" s="192">
        <v>13.721</v>
      </c>
      <c r="V19" s="192">
        <v>13.250999999999999</v>
      </c>
      <c r="W19" s="192">
        <v>14.138999999999999</v>
      </c>
      <c r="X19" s="192">
        <v>14.423</v>
      </c>
      <c r="Y19" s="192">
        <v>14.311</v>
      </c>
      <c r="Z19" s="192">
        <v>14.122999999999999</v>
      </c>
      <c r="AA19" s="193">
        <v>13.739000000000001</v>
      </c>
    </row>
    <row r="20" spans="1:27" x14ac:dyDescent="0.2">
      <c r="A20" s="86"/>
      <c r="B20" s="102">
        <v>10</v>
      </c>
      <c r="C20" s="191">
        <v>2456908.8707580999</v>
      </c>
      <c r="D20" s="192">
        <v>14.47</v>
      </c>
      <c r="E20" s="192">
        <v>12.904</v>
      </c>
      <c r="F20" s="192">
        <v>12.032999999999999</v>
      </c>
      <c r="G20" s="192">
        <v>13.625999999999999</v>
      </c>
      <c r="H20" s="192">
        <v>13.28</v>
      </c>
      <c r="I20" s="192">
        <v>13.547000000000001</v>
      </c>
      <c r="J20" s="192">
        <v>14.292999999999999</v>
      </c>
      <c r="K20" s="193">
        <v>12.782999999999999</v>
      </c>
      <c r="L20" s="192">
        <v>13.8085</v>
      </c>
      <c r="M20" s="192">
        <v>12.6755</v>
      </c>
      <c r="N20" s="192">
        <v>12.047000000000001</v>
      </c>
      <c r="O20" s="192">
        <v>13.2865</v>
      </c>
      <c r="P20" s="192">
        <v>13.230499999999999</v>
      </c>
      <c r="Q20" s="192">
        <v>13.3245</v>
      </c>
      <c r="R20" s="192">
        <v>13.544</v>
      </c>
      <c r="S20" s="193">
        <v>12.6435</v>
      </c>
      <c r="T20" s="192">
        <v>14.465</v>
      </c>
      <c r="U20" s="192">
        <v>13.718</v>
      </c>
      <c r="V20" s="192">
        <v>13.27</v>
      </c>
      <c r="W20" s="192">
        <v>14.127000000000001</v>
      </c>
      <c r="X20" s="192">
        <v>14.419</v>
      </c>
      <c r="Y20" s="192">
        <v>14.324</v>
      </c>
      <c r="Z20" s="192">
        <v>14.151</v>
      </c>
      <c r="AA20" s="193">
        <v>13.733000000000001</v>
      </c>
    </row>
    <row r="21" spans="1:27" x14ac:dyDescent="0.2">
      <c r="A21" s="86"/>
      <c r="B21" s="102">
        <v>11</v>
      </c>
      <c r="C21" s="191"/>
      <c r="D21" s="192"/>
      <c r="E21" s="192"/>
      <c r="F21" s="192"/>
      <c r="G21" s="192"/>
      <c r="H21" s="192"/>
      <c r="I21" s="192"/>
      <c r="J21" s="192"/>
      <c r="K21" s="193"/>
      <c r="L21" s="192"/>
      <c r="M21" s="192"/>
      <c r="N21" s="192"/>
      <c r="O21" s="192"/>
      <c r="P21" s="192"/>
      <c r="Q21" s="192"/>
      <c r="R21" s="192"/>
      <c r="S21" s="193"/>
      <c r="T21" s="192"/>
      <c r="U21" s="192"/>
      <c r="V21" s="192"/>
      <c r="W21" s="192"/>
      <c r="X21" s="192"/>
      <c r="Y21" s="192"/>
      <c r="Z21" s="192"/>
      <c r="AA21" s="193"/>
    </row>
    <row r="22" spans="1:27" x14ac:dyDescent="0.2">
      <c r="A22" s="86"/>
      <c r="B22" s="102">
        <v>12</v>
      </c>
      <c r="C22" s="191"/>
      <c r="D22" s="192"/>
      <c r="E22" s="192"/>
      <c r="F22" s="192"/>
      <c r="G22" s="192"/>
      <c r="H22" s="192"/>
      <c r="I22" s="192"/>
      <c r="J22" s="192"/>
      <c r="K22" s="193"/>
      <c r="L22" s="192"/>
      <c r="M22" s="192"/>
      <c r="N22" s="192"/>
      <c r="O22" s="192"/>
      <c r="P22" s="192"/>
      <c r="Q22" s="192"/>
      <c r="R22" s="192"/>
      <c r="S22" s="193"/>
      <c r="T22" s="192"/>
      <c r="U22" s="192"/>
      <c r="V22" s="192"/>
      <c r="W22" s="192"/>
      <c r="X22" s="192"/>
      <c r="Y22" s="192"/>
      <c r="Z22" s="192"/>
      <c r="AA22" s="193"/>
    </row>
    <row r="23" spans="1:27" x14ac:dyDescent="0.2">
      <c r="A23" s="86"/>
      <c r="B23" s="102">
        <v>13</v>
      </c>
      <c r="C23" s="191"/>
      <c r="D23" s="192"/>
      <c r="E23" s="192"/>
      <c r="F23" s="192"/>
      <c r="G23" s="192"/>
      <c r="H23" s="192"/>
      <c r="I23" s="192"/>
      <c r="J23" s="192"/>
      <c r="K23" s="193"/>
      <c r="L23" s="192"/>
      <c r="M23" s="192"/>
      <c r="N23" s="192"/>
      <c r="O23" s="192"/>
      <c r="P23" s="192"/>
      <c r="Q23" s="192"/>
      <c r="R23" s="192"/>
      <c r="S23" s="193"/>
      <c r="T23" s="192"/>
      <c r="U23" s="192"/>
      <c r="V23" s="192"/>
      <c r="W23" s="192"/>
      <c r="X23" s="192"/>
      <c r="Y23" s="192"/>
      <c r="Z23" s="192"/>
      <c r="AA23" s="193"/>
    </row>
    <row r="24" spans="1:27" x14ac:dyDescent="0.2">
      <c r="A24" s="86"/>
      <c r="B24" s="102">
        <v>14</v>
      </c>
      <c r="C24" s="191"/>
      <c r="D24" s="192"/>
      <c r="E24" s="192"/>
      <c r="F24" s="192"/>
      <c r="G24" s="192"/>
      <c r="H24" s="192"/>
      <c r="I24" s="192"/>
      <c r="J24" s="192"/>
      <c r="K24" s="193"/>
      <c r="L24" s="192"/>
      <c r="M24" s="192"/>
      <c r="N24" s="192"/>
      <c r="O24" s="192"/>
      <c r="P24" s="192"/>
      <c r="Q24" s="192"/>
      <c r="R24" s="192"/>
      <c r="S24" s="193"/>
      <c r="T24" s="192"/>
      <c r="U24" s="192"/>
      <c r="V24" s="192"/>
      <c r="W24" s="192"/>
      <c r="X24" s="192"/>
      <c r="Y24" s="192"/>
      <c r="Z24" s="192"/>
      <c r="AA24" s="193"/>
    </row>
    <row r="25" spans="1:27" x14ac:dyDescent="0.2">
      <c r="A25" s="86"/>
      <c r="B25" s="102">
        <v>15</v>
      </c>
      <c r="C25" s="191"/>
      <c r="D25" s="192"/>
      <c r="E25" s="192"/>
      <c r="F25" s="192"/>
      <c r="G25" s="192"/>
      <c r="H25" s="192"/>
      <c r="I25" s="192"/>
      <c r="J25" s="192"/>
      <c r="K25" s="193"/>
      <c r="L25" s="192"/>
      <c r="M25" s="192"/>
      <c r="N25" s="192"/>
      <c r="O25" s="192"/>
      <c r="P25" s="192"/>
      <c r="Q25" s="192"/>
      <c r="R25" s="192"/>
      <c r="S25" s="193"/>
      <c r="T25" s="192"/>
      <c r="U25" s="192"/>
      <c r="V25" s="192"/>
      <c r="W25" s="192"/>
      <c r="X25" s="192"/>
      <c r="Y25" s="192"/>
      <c r="Z25" s="192"/>
      <c r="AA25" s="193"/>
    </row>
    <row r="26" spans="1:27" x14ac:dyDescent="0.2">
      <c r="A26" s="86"/>
      <c r="B26" s="102">
        <v>16</v>
      </c>
      <c r="C26" s="191"/>
      <c r="D26" s="192"/>
      <c r="E26" s="192"/>
      <c r="F26" s="192"/>
      <c r="G26" s="192"/>
      <c r="H26" s="192"/>
      <c r="I26" s="192"/>
      <c r="J26" s="192"/>
      <c r="K26" s="193"/>
      <c r="L26" s="192"/>
      <c r="M26" s="192"/>
      <c r="N26" s="192"/>
      <c r="O26" s="192"/>
      <c r="P26" s="192"/>
      <c r="Q26" s="192"/>
      <c r="R26" s="192"/>
      <c r="S26" s="193"/>
      <c r="T26" s="192"/>
      <c r="U26" s="192"/>
      <c r="V26" s="192"/>
      <c r="W26" s="192"/>
      <c r="X26" s="192"/>
      <c r="Y26" s="192"/>
      <c r="Z26" s="192"/>
      <c r="AA26" s="193"/>
    </row>
    <row r="27" spans="1:27" x14ac:dyDescent="0.2">
      <c r="A27" s="86"/>
      <c r="B27" s="102">
        <v>17</v>
      </c>
      <c r="C27" s="191"/>
      <c r="D27" s="192"/>
      <c r="E27" s="192"/>
      <c r="F27" s="192"/>
      <c r="G27" s="192"/>
      <c r="H27" s="192"/>
      <c r="I27" s="192"/>
      <c r="J27" s="192"/>
      <c r="K27" s="193"/>
      <c r="L27" s="192"/>
      <c r="M27" s="192"/>
      <c r="N27" s="192"/>
      <c r="O27" s="192"/>
      <c r="P27" s="192"/>
      <c r="Q27" s="192"/>
      <c r="R27" s="192"/>
      <c r="S27" s="193"/>
      <c r="T27" s="192"/>
      <c r="U27" s="192"/>
      <c r="V27" s="192"/>
      <c r="W27" s="192"/>
      <c r="X27" s="192"/>
      <c r="Y27" s="192"/>
      <c r="Z27" s="192"/>
      <c r="AA27" s="193"/>
    </row>
    <row r="28" spans="1:27" x14ac:dyDescent="0.2">
      <c r="A28" s="86"/>
      <c r="B28" s="102">
        <v>18</v>
      </c>
      <c r="C28" s="191"/>
      <c r="D28" s="192"/>
      <c r="E28" s="192"/>
      <c r="F28" s="192"/>
      <c r="G28" s="192"/>
      <c r="H28" s="192"/>
      <c r="I28" s="192"/>
      <c r="J28" s="192"/>
      <c r="K28" s="193"/>
      <c r="L28" s="192"/>
      <c r="M28" s="192"/>
      <c r="N28" s="192"/>
      <c r="O28" s="192"/>
      <c r="P28" s="192"/>
      <c r="Q28" s="192"/>
      <c r="R28" s="192"/>
      <c r="S28" s="193"/>
      <c r="T28" s="192"/>
      <c r="U28" s="192"/>
      <c r="V28" s="192"/>
      <c r="W28" s="192"/>
      <c r="X28" s="192"/>
      <c r="Y28" s="192"/>
      <c r="Z28" s="192"/>
      <c r="AA28" s="193"/>
    </row>
    <row r="29" spans="1:27" x14ac:dyDescent="0.2">
      <c r="A29" s="86"/>
      <c r="B29" s="102">
        <v>19</v>
      </c>
      <c r="C29" s="191"/>
      <c r="D29" s="192"/>
      <c r="E29" s="192"/>
      <c r="F29" s="192"/>
      <c r="G29" s="192"/>
      <c r="H29" s="192"/>
      <c r="I29" s="192"/>
      <c r="J29" s="192"/>
      <c r="K29" s="193"/>
      <c r="L29" s="192"/>
      <c r="M29" s="192"/>
      <c r="N29" s="192"/>
      <c r="O29" s="192"/>
      <c r="P29" s="192"/>
      <c r="Q29" s="192"/>
      <c r="R29" s="192"/>
      <c r="S29" s="193"/>
      <c r="T29" s="192"/>
      <c r="U29" s="192"/>
      <c r="V29" s="192"/>
      <c r="W29" s="192"/>
      <c r="X29" s="192"/>
      <c r="Y29" s="192"/>
      <c r="Z29" s="192"/>
      <c r="AA29" s="193"/>
    </row>
    <row r="30" spans="1:27" x14ac:dyDescent="0.2">
      <c r="A30" s="112"/>
      <c r="B30" s="139">
        <v>20</v>
      </c>
      <c r="C30" s="194"/>
      <c r="D30" s="195"/>
      <c r="E30" s="195"/>
      <c r="F30" s="195"/>
      <c r="G30" s="195"/>
      <c r="H30" s="195"/>
      <c r="I30" s="195"/>
      <c r="J30" s="195"/>
      <c r="K30" s="196"/>
      <c r="L30" s="195"/>
      <c r="M30" s="195"/>
      <c r="N30" s="195"/>
      <c r="O30" s="195"/>
      <c r="P30" s="195"/>
      <c r="Q30" s="195"/>
      <c r="R30" s="195"/>
      <c r="S30" s="196"/>
      <c r="T30" s="195"/>
      <c r="U30" s="195"/>
      <c r="V30" s="195"/>
      <c r="W30" s="195"/>
      <c r="X30" s="195"/>
      <c r="Y30" s="195"/>
      <c r="Z30" s="195"/>
      <c r="AA30" s="1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87"/>
  <sheetViews>
    <sheetView topLeftCell="A19" zoomScale="70" zoomScaleNormal="70" workbookViewId="0">
      <selection activeCell="G35" sqref="G35:N35"/>
    </sheetView>
  </sheetViews>
  <sheetFormatPr defaultColWidth="8.85546875" defaultRowHeight="12.75" x14ac:dyDescent="0.2"/>
  <cols>
    <col min="1" max="1" width="27.42578125" style="7" customWidth="1"/>
    <col min="2" max="5" width="14.7109375" style="7" customWidth="1"/>
    <col min="6" max="6" width="20.140625" style="2" customWidth="1"/>
    <col min="7" max="12" width="15.85546875" style="2" customWidth="1"/>
    <col min="13" max="14" width="15.85546875" style="5" customWidth="1"/>
    <col min="15" max="17" width="15.85546875" style="2" customWidth="1"/>
    <col min="18" max="20" width="15.85546875" style="4" customWidth="1"/>
    <col min="21" max="22" width="15.85546875" style="2" customWidth="1"/>
    <col min="23" max="23" width="10.7109375" style="2" customWidth="1"/>
    <col min="24" max="24" width="29.7109375" style="2" bestFit="1" customWidth="1"/>
    <col min="25" max="25" width="19.140625" style="2" bestFit="1" customWidth="1"/>
    <col min="26" max="32" width="10.7109375" style="2" customWidth="1"/>
    <col min="33" max="34" width="12.7109375" style="2" bestFit="1" customWidth="1"/>
    <col min="35" max="35" width="8.28515625" style="2" bestFit="1" customWidth="1"/>
    <col min="36" max="37" width="8.42578125" style="2" bestFit="1" customWidth="1"/>
    <col min="38" max="40" width="10" style="2" customWidth="1"/>
    <col min="41" max="46" width="8.85546875" style="2"/>
    <col min="47" max="47" width="10.28515625" style="2" bestFit="1" customWidth="1"/>
    <col min="48" max="16384" width="8.85546875" style="2"/>
  </cols>
  <sheetData>
    <row r="1" spans="15:49" s="13" customFormat="1" x14ac:dyDescent="0.2"/>
    <row r="2" spans="15:49" s="13" customFormat="1" x14ac:dyDescent="0.2"/>
    <row r="3" spans="15:49" s="13" customFormat="1" x14ac:dyDescent="0.2"/>
    <row r="4" spans="15:49" s="13" customFormat="1" x14ac:dyDescent="0.2"/>
    <row r="5" spans="15:49" s="13" customFormat="1" x14ac:dyDescent="0.2"/>
    <row r="6" spans="15:49" s="13" customFormat="1" x14ac:dyDescent="0.2"/>
    <row r="7" spans="15:49" x14ac:dyDescent="0.2">
      <c r="O7" s="5"/>
      <c r="R7" s="7"/>
      <c r="S7" s="7"/>
      <c r="T7" s="7"/>
      <c r="U7" s="7"/>
      <c r="V7" s="7"/>
      <c r="X7" s="7"/>
      <c r="Y7" s="7"/>
      <c r="AG7" s="74"/>
      <c r="AH7" s="3"/>
      <c r="AI7" s="3"/>
      <c r="AJ7" s="3"/>
      <c r="AK7" s="3"/>
      <c r="AL7" s="3"/>
      <c r="AM7" s="3"/>
      <c r="AN7" s="3"/>
      <c r="AO7" s="3"/>
      <c r="AP7" s="14"/>
      <c r="AQ7" s="14"/>
      <c r="AR7" s="14"/>
      <c r="AS7" s="14"/>
      <c r="AT7" s="14"/>
      <c r="AU7" s="14"/>
      <c r="AV7" s="19"/>
      <c r="AW7" s="20"/>
    </row>
    <row r="8" spans="15:49" x14ac:dyDescent="0.2">
      <c r="R8" s="2"/>
      <c r="S8" s="2"/>
      <c r="T8" s="2"/>
      <c r="AG8" s="74"/>
      <c r="AH8" s="3"/>
      <c r="AI8" s="3"/>
      <c r="AJ8" s="3"/>
      <c r="AK8" s="3"/>
      <c r="AL8" s="3"/>
      <c r="AM8" s="3"/>
      <c r="AN8" s="3"/>
      <c r="AO8" s="3"/>
      <c r="AP8" s="14"/>
      <c r="AQ8" s="14"/>
      <c r="AR8" s="14"/>
      <c r="AS8" s="14"/>
      <c r="AT8" s="14"/>
      <c r="AU8" s="14"/>
      <c r="AV8" s="19"/>
      <c r="AW8" s="20"/>
    </row>
    <row r="9" spans="15:49" x14ac:dyDescent="0.2">
      <c r="R9" s="2"/>
      <c r="S9" s="2"/>
      <c r="T9" s="2"/>
      <c r="U9" s="9"/>
      <c r="V9" s="9"/>
      <c r="X9" s="9"/>
      <c r="AG9" s="74"/>
      <c r="AH9" s="3"/>
      <c r="AI9" s="3"/>
      <c r="AJ9" s="3"/>
      <c r="AK9" s="3"/>
      <c r="AL9" s="3"/>
      <c r="AM9" s="3"/>
      <c r="AN9" s="3"/>
      <c r="AO9" s="3"/>
      <c r="AP9" s="14"/>
      <c r="AQ9" s="14"/>
      <c r="AR9" s="14"/>
      <c r="AS9" s="14"/>
      <c r="AT9" s="14"/>
      <c r="AU9" s="14"/>
      <c r="AV9" s="19"/>
      <c r="AW9" s="20"/>
    </row>
    <row r="10" spans="15:49" x14ac:dyDescent="0.2">
      <c r="O10" s="7"/>
      <c r="P10" s="7"/>
      <c r="R10" s="2"/>
      <c r="S10" s="2"/>
      <c r="T10" s="2"/>
      <c r="AG10" s="74"/>
      <c r="AH10" s="3"/>
      <c r="AI10" s="3"/>
      <c r="AJ10" s="3"/>
      <c r="AK10" s="3"/>
      <c r="AL10" s="3"/>
      <c r="AM10" s="3"/>
      <c r="AN10" s="3"/>
      <c r="AO10" s="3"/>
      <c r="AP10" s="14"/>
      <c r="AQ10" s="14"/>
      <c r="AR10" s="14"/>
      <c r="AS10" s="14"/>
      <c r="AT10" s="14"/>
      <c r="AU10" s="14"/>
      <c r="AV10" s="19"/>
      <c r="AW10" s="20"/>
    </row>
    <row r="11" spans="15:49" x14ac:dyDescent="0.2">
      <c r="O11" s="25"/>
      <c r="P11" s="7"/>
      <c r="R11" s="2"/>
      <c r="S11" s="2"/>
      <c r="T11" s="2"/>
      <c r="U11" s="4"/>
    </row>
    <row r="12" spans="15:49" x14ac:dyDescent="0.2">
      <c r="O12" s="25"/>
      <c r="P12" s="7"/>
      <c r="R12" s="2"/>
      <c r="S12" s="2"/>
      <c r="T12" s="2"/>
      <c r="U12" s="4"/>
    </row>
    <row r="13" spans="15:49" x14ac:dyDescent="0.2">
      <c r="O13" s="25"/>
      <c r="P13" s="7"/>
      <c r="R13" s="2"/>
      <c r="S13" s="2"/>
      <c r="T13" s="2"/>
      <c r="U13" s="4"/>
    </row>
    <row r="14" spans="15:49" x14ac:dyDescent="0.2">
      <c r="O14" s="25"/>
      <c r="P14" s="7"/>
      <c r="R14" s="2"/>
      <c r="S14" s="2"/>
      <c r="T14" s="2"/>
      <c r="U14" s="4"/>
    </row>
    <row r="15" spans="15:49" x14ac:dyDescent="0.2">
      <c r="O15" s="7"/>
    </row>
    <row r="16" spans="15:49" x14ac:dyDescent="0.2">
      <c r="Q16" s="39"/>
      <c r="R16" s="39"/>
      <c r="S16" s="39"/>
      <c r="T16" s="15"/>
      <c r="U16" s="15"/>
      <c r="V16" s="15"/>
      <c r="W16" s="15"/>
      <c r="Z16" s="42"/>
      <c r="AA16" s="15"/>
      <c r="AB16" s="15"/>
      <c r="AC16" s="15"/>
      <c r="AD16" s="15"/>
    </row>
    <row r="17" spans="1:41" x14ac:dyDescent="0.2">
      <c r="Q17" s="14"/>
      <c r="R17" s="14"/>
      <c r="S17" s="14"/>
      <c r="T17" s="14"/>
      <c r="U17" s="25"/>
      <c r="V17" s="7"/>
      <c r="W17" s="25"/>
      <c r="X17" s="25"/>
      <c r="Y17" s="25"/>
      <c r="Z17" s="43"/>
      <c r="AA17" s="7"/>
      <c r="AB17" s="7"/>
      <c r="AC17" s="41"/>
      <c r="AD17" s="25"/>
    </row>
    <row r="18" spans="1:41" ht="12.75" customHeight="1" x14ac:dyDescent="0.2">
      <c r="Q18" s="14"/>
      <c r="R18" s="14"/>
      <c r="S18" s="14"/>
      <c r="T18" s="14"/>
      <c r="U18" s="25"/>
      <c r="V18" s="7"/>
      <c r="W18" s="25"/>
      <c r="X18" s="25"/>
      <c r="Y18" s="25"/>
      <c r="Z18" s="43"/>
      <c r="AA18" s="7"/>
      <c r="AB18" s="7"/>
      <c r="AC18" s="41"/>
      <c r="AD18" s="25"/>
    </row>
    <row r="19" spans="1:41" x14ac:dyDescent="0.2">
      <c r="Q19" s="14"/>
      <c r="R19" s="14"/>
      <c r="S19" s="14"/>
      <c r="T19" s="14"/>
      <c r="U19" s="25"/>
      <c r="V19" s="7"/>
      <c r="W19" s="25"/>
      <c r="X19" s="25"/>
      <c r="Y19" s="25"/>
      <c r="Z19" s="43"/>
      <c r="AA19" s="7"/>
      <c r="AB19" s="7"/>
      <c r="AC19" s="41"/>
      <c r="AD19" s="25"/>
    </row>
    <row r="20" spans="1:41" x14ac:dyDescent="0.2">
      <c r="R20" s="14"/>
      <c r="S20" s="14"/>
      <c r="T20" s="14"/>
      <c r="U20" s="14"/>
      <c r="V20" s="25"/>
      <c r="W20" s="7"/>
      <c r="X20" s="25"/>
      <c r="Y20" s="25"/>
      <c r="Z20" s="25"/>
      <c r="AA20" s="43"/>
      <c r="AB20" s="7"/>
      <c r="AC20" s="7"/>
      <c r="AD20" s="41"/>
      <c r="AE20" s="25"/>
      <c r="AF20" s="10"/>
      <c r="AG20" s="10"/>
      <c r="AH20" s="12"/>
      <c r="AI20" s="12"/>
      <c r="AJ20" s="12"/>
      <c r="AK20" s="12"/>
      <c r="AL20" s="12"/>
      <c r="AM20" s="12"/>
      <c r="AN20" s="19"/>
      <c r="AO20" s="20"/>
    </row>
    <row r="21" spans="1:41" x14ac:dyDescent="0.2">
      <c r="R21" s="14"/>
      <c r="S21" s="14"/>
      <c r="T21" s="14"/>
      <c r="U21" s="14"/>
      <c r="V21" s="25"/>
      <c r="W21" s="7"/>
      <c r="X21" s="25"/>
      <c r="Y21" s="25"/>
      <c r="Z21" s="25"/>
      <c r="AA21" s="43"/>
      <c r="AB21" s="7"/>
      <c r="AC21" s="7"/>
      <c r="AD21" s="41"/>
      <c r="AE21" s="25"/>
      <c r="AF21" s="47"/>
      <c r="AG21" s="47"/>
      <c r="AH21" s="27"/>
      <c r="AI21" s="27"/>
      <c r="AJ21" s="27"/>
      <c r="AK21" s="27"/>
      <c r="AL21" s="27"/>
      <c r="AM21" s="27"/>
      <c r="AN21" s="13"/>
      <c r="AO21" s="13"/>
    </row>
    <row r="22" spans="1:41" ht="47.25" x14ac:dyDescent="0.25">
      <c r="A22" s="148" t="s">
        <v>0</v>
      </c>
      <c r="B22" s="51"/>
      <c r="C22" s="51"/>
      <c r="D22" s="51"/>
      <c r="E22" s="38"/>
      <c r="F22" s="247" t="s">
        <v>53</v>
      </c>
      <c r="G22" s="52" t="s">
        <v>52</v>
      </c>
      <c r="H22" s="65" t="s">
        <v>51</v>
      </c>
      <c r="I22" s="65" t="s">
        <v>63</v>
      </c>
      <c r="J22" s="52" t="s">
        <v>64</v>
      </c>
      <c r="K22" s="52" t="s">
        <v>65</v>
      </c>
      <c r="L22" s="52" t="s">
        <v>66</v>
      </c>
      <c r="M22" s="66" t="s">
        <v>67</v>
      </c>
      <c r="N22" s="67" t="s">
        <v>68</v>
      </c>
      <c r="R22" s="14"/>
      <c r="S22" s="14"/>
      <c r="T22" s="14"/>
      <c r="U22" s="14"/>
      <c r="V22" s="25"/>
      <c r="W22" s="7"/>
      <c r="X22" s="25"/>
      <c r="Y22" s="25"/>
      <c r="Z22" s="25"/>
      <c r="AA22" s="43"/>
      <c r="AB22" s="7"/>
      <c r="AC22" s="7"/>
      <c r="AD22" s="41"/>
      <c r="AE22" s="25"/>
      <c r="AF22" s="10"/>
      <c r="AG22" s="10"/>
      <c r="AH22" s="13"/>
      <c r="AI22" s="13"/>
      <c r="AJ22" s="13"/>
      <c r="AK22" s="13"/>
      <c r="AL22" s="13"/>
      <c r="AM22" s="13"/>
      <c r="AN22" s="13"/>
      <c r="AO22" s="13"/>
    </row>
    <row r="23" spans="1:41" x14ac:dyDescent="0.2">
      <c r="A23" s="159" t="s">
        <v>1</v>
      </c>
      <c r="B23" s="250" t="str">
        <f>Data!B2</f>
        <v>Mark Blackford</v>
      </c>
      <c r="C23" s="8"/>
      <c r="D23" s="8"/>
      <c r="E23" s="254"/>
      <c r="F23" s="248" t="s">
        <v>54</v>
      </c>
      <c r="G23" s="27" t="str">
        <f>Data!D2</f>
        <v>HD 157487</v>
      </c>
      <c r="H23" s="209" t="str">
        <f>Data!E2</f>
        <v>HD 157316</v>
      </c>
      <c r="I23" s="209" t="str">
        <f>Data!F2</f>
        <v>HD 159707</v>
      </c>
      <c r="J23" s="27" t="str">
        <f>Data!G2</f>
        <v>HD 156236</v>
      </c>
      <c r="K23" s="27" t="str">
        <f>Data!H2</f>
        <v>HD 156623</v>
      </c>
      <c r="L23" s="27" t="str">
        <f>Data!I2</f>
        <v>HD 157795</v>
      </c>
      <c r="M23" s="27" t="str">
        <f>Data!J2</f>
        <v>HD 159384</v>
      </c>
      <c r="N23" s="210" t="str">
        <f>Data!K2</f>
        <v>HD 156398</v>
      </c>
      <c r="R23" s="14"/>
      <c r="S23" s="14"/>
      <c r="T23" s="14"/>
      <c r="U23" s="14"/>
      <c r="V23" s="25"/>
      <c r="W23" s="7"/>
      <c r="X23" s="25"/>
      <c r="Y23" s="25"/>
      <c r="Z23" s="25"/>
      <c r="AA23" s="43"/>
      <c r="AB23" s="7"/>
      <c r="AC23" s="7"/>
      <c r="AD23" s="41"/>
      <c r="AE23" s="25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">
      <c r="A24" s="61" t="s">
        <v>76</v>
      </c>
      <c r="B24" s="251">
        <f>Data!B3</f>
        <v>0</v>
      </c>
      <c r="C24" s="8"/>
      <c r="D24" s="8"/>
      <c r="E24" s="254"/>
      <c r="F24" s="248" t="s">
        <v>11</v>
      </c>
      <c r="G24" s="37">
        <f>Data!D3</f>
        <v>261.42</v>
      </c>
      <c r="H24" s="37">
        <f>Data!E3</f>
        <v>261.18</v>
      </c>
      <c r="I24" s="37">
        <f>Data!F3</f>
        <v>264.53500000000003</v>
      </c>
      <c r="J24" s="37">
        <f>Data!G3</f>
        <v>259.67500000000001</v>
      </c>
      <c r="K24" s="37">
        <f>Data!H3</f>
        <v>260.21100000000001</v>
      </c>
      <c r="L24" s="37">
        <f>Data!I3</f>
        <v>261.88600000000002</v>
      </c>
      <c r="M24" s="37">
        <f>Data!J3</f>
        <v>264.173</v>
      </c>
      <c r="N24" s="132">
        <f>Data!K3</f>
        <v>259.85300000000001</v>
      </c>
      <c r="R24" s="14"/>
      <c r="S24" s="14"/>
      <c r="T24" s="14"/>
      <c r="U24" s="14"/>
      <c r="V24" s="25"/>
      <c r="W24" s="7"/>
      <c r="X24" s="25"/>
      <c r="Y24" s="25"/>
      <c r="Z24" s="25"/>
      <c r="AA24" s="43"/>
      <c r="AB24" s="7"/>
      <c r="AC24" s="7"/>
      <c r="AD24" s="41"/>
      <c r="AE24" s="25"/>
      <c r="AF24" s="10"/>
      <c r="AG24" s="10"/>
      <c r="AH24" s="12"/>
      <c r="AI24" s="12"/>
      <c r="AJ24" s="12"/>
      <c r="AK24" s="12"/>
      <c r="AL24" s="12"/>
      <c r="AM24" s="12"/>
      <c r="AN24" s="19"/>
      <c r="AO24" s="20"/>
    </row>
    <row r="25" spans="1:41" ht="25.5" x14ac:dyDescent="0.2">
      <c r="A25" s="61" t="s">
        <v>2</v>
      </c>
      <c r="B25" s="252" t="s">
        <v>3</v>
      </c>
      <c r="C25" s="253" t="s">
        <v>4</v>
      </c>
      <c r="D25" s="12" t="s">
        <v>5</v>
      </c>
      <c r="E25" s="248" t="s">
        <v>6</v>
      </c>
      <c r="F25" s="249" t="s">
        <v>12</v>
      </c>
      <c r="G25" s="37">
        <f>Data!D4</f>
        <v>-44.779000000000003</v>
      </c>
      <c r="H25" s="37">
        <f>Data!E4</f>
        <v>-45.008000000000003</v>
      </c>
      <c r="I25" s="37">
        <f>Data!F4</f>
        <v>-42.88</v>
      </c>
      <c r="J25" s="37">
        <f>Data!G4</f>
        <v>-46.798999999999999</v>
      </c>
      <c r="K25" s="37">
        <f>Data!H4</f>
        <v>-45.420999999999999</v>
      </c>
      <c r="L25" s="37">
        <f>Data!I4</f>
        <v>-43.542999999999999</v>
      </c>
      <c r="M25" s="37">
        <f>Data!J4</f>
        <v>-44.878999999999998</v>
      </c>
      <c r="N25" s="132">
        <f>Data!K4</f>
        <v>-44.222999999999999</v>
      </c>
      <c r="R25" s="14"/>
      <c r="S25" s="14"/>
      <c r="T25" s="14"/>
      <c r="U25" s="14"/>
      <c r="V25" s="25"/>
      <c r="W25" s="7"/>
      <c r="X25" s="25"/>
      <c r="Y25" s="25"/>
      <c r="Z25" s="25"/>
      <c r="AA25" s="43"/>
      <c r="AB25" s="7"/>
      <c r="AC25" s="7"/>
      <c r="AD25" s="41"/>
      <c r="AE25" s="25"/>
      <c r="AF25" s="10"/>
      <c r="AG25" s="10"/>
      <c r="AH25" s="27"/>
      <c r="AI25" s="27"/>
      <c r="AJ25" s="27"/>
      <c r="AK25" s="27"/>
      <c r="AL25" s="27"/>
      <c r="AM25" s="27"/>
      <c r="AN25" s="13"/>
      <c r="AO25" s="13"/>
    </row>
    <row r="26" spans="1:41" ht="25.5" x14ac:dyDescent="0.2">
      <c r="A26" s="61" t="s">
        <v>7</v>
      </c>
      <c r="B26" s="201">
        <f>Data!B5</f>
        <v>-33.891109999999998</v>
      </c>
      <c r="C26" s="36">
        <f>B26*PI()/180</f>
        <v>-0.59151145665557536</v>
      </c>
      <c r="D26" s="8"/>
      <c r="E26" s="211" t="s">
        <v>47</v>
      </c>
      <c r="F26" s="249" t="str">
        <f>IF(C40=1,"B Cat",IF(C40=2,"V Cat","R Cat"))</f>
        <v>V Cat</v>
      </c>
      <c r="G26" s="37"/>
      <c r="H26" s="37">
        <f>IF($C$40=1,Data!E5+Data!E6,IF($C$40=2,Data!E5,Data!E5-Data!E7))</f>
        <v>6.6559999999999997</v>
      </c>
      <c r="I26" s="37">
        <f>IF($C$40=1,Data!F5+Data!F6,IF($C$40=2,Data!F5,Data!F5-Data!F7))</f>
        <v>6.0910000000000002</v>
      </c>
      <c r="J26" s="37">
        <f>IF($C$40=1,Data!G5+Data!G6,IF($C$40=2,Data!G5,Data!G5-Data!G7))</f>
        <v>7.2130000000000001</v>
      </c>
      <c r="K26" s="37">
        <f>IF($C$40=1,Data!H5+Data!H6,IF($C$40=2,Data!H5,Data!H5-Data!H7))</f>
        <v>7.2519999999999998</v>
      </c>
      <c r="L26" s="37">
        <f>IF($C$40=1,Data!I5+Data!I6,IF($C$40=2,Data!I5,Data!I5-Data!I7))</f>
        <v>7.2539999999999996</v>
      </c>
      <c r="M26" s="37">
        <f>IF($C$40=1,Data!J5+Data!J6,IF($C$40=2,Data!J5,Data!J5-Data!J7))</f>
        <v>7.383</v>
      </c>
      <c r="N26" s="132">
        <f>IF($C$40=1,Data!K5+Data!K6,IF($C$40=2,Data!K5,Data!K5-Data!K7))</f>
        <v>6.6440000000000001</v>
      </c>
      <c r="R26" s="14"/>
      <c r="S26" s="14"/>
      <c r="T26" s="14"/>
      <c r="U26" s="14"/>
      <c r="V26" s="25"/>
      <c r="W26" s="7"/>
      <c r="X26" s="25"/>
      <c r="Y26" s="25"/>
      <c r="Z26" s="25"/>
      <c r="AA26" s="43"/>
      <c r="AB26" s="7"/>
      <c r="AC26" s="7"/>
      <c r="AD26" s="41"/>
      <c r="AE26" s="25"/>
      <c r="AF26" s="10"/>
      <c r="AG26" s="10"/>
      <c r="AH26" s="27"/>
      <c r="AI26" s="27"/>
      <c r="AJ26" s="27"/>
      <c r="AK26" s="27"/>
      <c r="AL26" s="27"/>
      <c r="AM26" s="27"/>
      <c r="AN26" s="13"/>
      <c r="AO26" s="13"/>
    </row>
    <row r="27" spans="1:41" x14ac:dyDescent="0.2">
      <c r="A27" s="64" t="s">
        <v>8</v>
      </c>
      <c r="B27" s="212">
        <f>Data!B6</f>
        <v>151</v>
      </c>
      <c r="C27" s="71">
        <f>B27*PI()/180</f>
        <v>2.6354471705114375</v>
      </c>
      <c r="D27" s="72">
        <f>B27*24/360</f>
        <v>10.066666666666666</v>
      </c>
      <c r="E27" s="213" t="s">
        <v>9</v>
      </c>
      <c r="F27" s="249" t="s">
        <v>14</v>
      </c>
      <c r="G27" s="37">
        <f>Data!D6</f>
        <v>1.248</v>
      </c>
      <c r="H27" s="37">
        <f>Data!E6</f>
        <v>0.38200000000000001</v>
      </c>
      <c r="I27" s="37">
        <f>Data!F6</f>
        <v>-6.9000000000000006E-2</v>
      </c>
      <c r="J27" s="37">
        <f>Data!G6</f>
        <v>0.624</v>
      </c>
      <c r="K27" s="37">
        <f>Data!H6</f>
        <v>8.7999999999999995E-2</v>
      </c>
      <c r="L27" s="37">
        <f>Data!I6</f>
        <v>0.43</v>
      </c>
      <c r="M27" s="37">
        <f>Data!J6</f>
        <v>1.4319999999999999</v>
      </c>
      <c r="N27" s="132">
        <f>Data!K6</f>
        <v>0.23200000000000001</v>
      </c>
      <c r="R27" s="35"/>
      <c r="S27" s="35"/>
      <c r="T27" s="35"/>
      <c r="U27" s="7"/>
      <c r="V27" s="25"/>
      <c r="W27" s="25"/>
      <c r="X27" s="25"/>
      <c r="Y27" s="41"/>
    </row>
    <row r="28" spans="1:41" x14ac:dyDescent="0.2">
      <c r="A28" s="2"/>
      <c r="B28" s="2"/>
      <c r="C28" s="2"/>
      <c r="D28" s="2"/>
      <c r="E28" s="2"/>
      <c r="F28" s="56" t="s">
        <v>18</v>
      </c>
      <c r="G28" s="59">
        <f>G24*PI()/180</f>
        <v>4.5626397305635766</v>
      </c>
      <c r="H28" s="59">
        <f t="shared" ref="H28:N28" si="0">H24*PI()/180</f>
        <v>4.5584509403587905</v>
      </c>
      <c r="I28" s="59">
        <f t="shared" si="0"/>
        <v>4.6170067367631997</v>
      </c>
      <c r="J28" s="59">
        <f t="shared" si="0"/>
        <v>4.5321837351162753</v>
      </c>
      <c r="K28" s="59">
        <f t="shared" si="0"/>
        <v>4.5415386999069645</v>
      </c>
      <c r="L28" s="59">
        <f t="shared" si="0"/>
        <v>4.5707729648778699</v>
      </c>
      <c r="M28" s="59">
        <f t="shared" si="0"/>
        <v>4.6106886448709803</v>
      </c>
      <c r="N28" s="60">
        <f t="shared" si="0"/>
        <v>4.5352904211848255</v>
      </c>
      <c r="R28" s="35"/>
      <c r="S28" s="35"/>
      <c r="T28" s="35"/>
      <c r="U28" s="7"/>
      <c r="V28" s="25"/>
      <c r="W28" s="25"/>
      <c r="X28" s="25"/>
      <c r="Y28" s="41"/>
      <c r="Z28" s="13"/>
      <c r="AA28" s="13"/>
      <c r="AB28" s="13"/>
      <c r="AC28" s="13"/>
      <c r="AD28" s="13"/>
      <c r="AE28" s="13"/>
    </row>
    <row r="29" spans="1:41" ht="15.75" x14ac:dyDescent="0.25">
      <c r="A29" s="246" t="s">
        <v>95</v>
      </c>
      <c r="B29" s="76"/>
      <c r="C29" s="150" t="s">
        <v>34</v>
      </c>
      <c r="D29" s="152" t="s">
        <v>71</v>
      </c>
      <c r="E29" s="2"/>
      <c r="F29" s="73" t="s">
        <v>19</v>
      </c>
      <c r="G29" s="44">
        <f>G25*PI()/180</f>
        <v>-0.78154098575054087</v>
      </c>
      <c r="H29" s="44">
        <f t="shared" ref="H29:N29" si="1">H25*PI()/180</f>
        <v>-0.78553778973760791</v>
      </c>
      <c r="I29" s="44">
        <f t="shared" si="1"/>
        <v>-0.74839718325516857</v>
      </c>
      <c r="J29" s="44">
        <f t="shared" si="1"/>
        <v>-0.81679663664082625</v>
      </c>
      <c r="K29" s="44">
        <f t="shared" si="1"/>
        <v>-0.79274599954834446</v>
      </c>
      <c r="L29" s="44">
        <f t="shared" si="1"/>
        <v>-0.75996871619589079</v>
      </c>
      <c r="M29" s="44">
        <f t="shared" si="1"/>
        <v>-0.78328631500253509</v>
      </c>
      <c r="N29" s="62">
        <f t="shared" si="1"/>
        <v>-0.77183695510945227</v>
      </c>
      <c r="R29" s="35"/>
      <c r="S29" s="35"/>
      <c r="T29" s="35"/>
      <c r="U29" s="7"/>
      <c r="V29" s="25"/>
      <c r="W29" s="25"/>
      <c r="X29" s="25"/>
      <c r="Y29" s="41"/>
      <c r="Z29" s="13"/>
      <c r="AA29" s="26"/>
      <c r="AB29" s="26"/>
      <c r="AC29" s="12"/>
      <c r="AD29" s="12"/>
      <c r="AE29" s="13"/>
    </row>
    <row r="30" spans="1:41" x14ac:dyDescent="0.2">
      <c r="A30" s="61" t="s">
        <v>96</v>
      </c>
      <c r="B30" s="178">
        <f>G27</f>
        <v>1.248</v>
      </c>
      <c r="C30" s="69" t="s">
        <v>40</v>
      </c>
      <c r="D30" s="128">
        <v>1.002432</v>
      </c>
      <c r="E30" s="2"/>
      <c r="F30" s="73" t="s">
        <v>20</v>
      </c>
      <c r="G30" s="25">
        <f t="shared" ref="G30:N30" si="2">$Z$55-G28</f>
        <v>0.16701532171278011</v>
      </c>
      <c r="H30" s="25">
        <f t="shared" si="2"/>
        <v>0.17120411191756624</v>
      </c>
      <c r="I30" s="25">
        <f t="shared" si="2"/>
        <v>0.11264831551315702</v>
      </c>
      <c r="J30" s="25">
        <f t="shared" si="2"/>
        <v>0.19747131716008148</v>
      </c>
      <c r="K30" s="25">
        <f t="shared" si="2"/>
        <v>0.18811635236939228</v>
      </c>
      <c r="L30" s="25">
        <f t="shared" si="2"/>
        <v>0.15888208739848686</v>
      </c>
      <c r="M30" s="25">
        <f t="shared" si="2"/>
        <v>0.11896640740537645</v>
      </c>
      <c r="N30" s="63">
        <f t="shared" si="2"/>
        <v>0.19436463109153124</v>
      </c>
      <c r="R30" s="35"/>
      <c r="S30" s="35"/>
      <c r="T30" s="35"/>
      <c r="U30" s="7"/>
      <c r="V30" s="25"/>
      <c r="W30" s="25"/>
      <c r="X30" s="25"/>
      <c r="Y30" s="41"/>
      <c r="Z30" s="13"/>
      <c r="AA30" s="3"/>
      <c r="AB30" s="3"/>
      <c r="AC30" s="3"/>
      <c r="AD30" s="3"/>
      <c r="AE30" s="13"/>
    </row>
    <row r="31" spans="1:41" x14ac:dyDescent="0.2">
      <c r="A31" s="61" t="s">
        <v>93</v>
      </c>
      <c r="B31" s="178">
        <f>SLOPE(H27:N27,H57:N57)*G57 + INTERCEPT(H27:N27,H57:N57)</f>
        <v>1.2578319071399817</v>
      </c>
      <c r="C31" s="69" t="s">
        <v>41</v>
      </c>
      <c r="D31" s="128">
        <v>0.14838599999999999</v>
      </c>
      <c r="E31" s="2"/>
      <c r="F31" s="73" t="s">
        <v>21</v>
      </c>
      <c r="G31" s="25">
        <f t="shared" ref="G31:N31" si="3">SIN($C$26)*SIN(G29)+COS($C$26)*COS(G29)*COS(G30)</f>
        <v>0.97379974295641225</v>
      </c>
      <c r="H31" s="25">
        <f t="shared" si="3"/>
        <v>0.97265578571331268</v>
      </c>
      <c r="I31" s="25">
        <f>SIN($C$26)*SIN(I29)+COS($C$26)*COS(I29)*COS(I30)</f>
        <v>0.98386330583856041</v>
      </c>
      <c r="J31" s="25">
        <f t="shared" si="3"/>
        <v>0.96368692195714489</v>
      </c>
      <c r="K31" s="25">
        <f t="shared" si="3"/>
        <v>0.96954177255979945</v>
      </c>
      <c r="L31" s="25">
        <f t="shared" si="3"/>
        <v>0.97826600580585432</v>
      </c>
      <c r="M31" s="25">
        <f t="shared" si="3"/>
        <v>0.97750995066986013</v>
      </c>
      <c r="N31" s="63">
        <f t="shared" si="3"/>
        <v>0.9725842318646104</v>
      </c>
      <c r="R31" s="41"/>
      <c r="S31" s="13"/>
      <c r="T31" s="3"/>
      <c r="U31" s="3"/>
      <c r="V31" s="3"/>
      <c r="W31" s="3"/>
      <c r="X31" s="13"/>
    </row>
    <row r="32" spans="1:41" x14ac:dyDescent="0.2">
      <c r="A32" s="64" t="s">
        <v>94</v>
      </c>
      <c r="B32" s="245">
        <f>G27-B31</f>
        <v>-9.8319071399817215E-3</v>
      </c>
      <c r="C32" s="69" t="s">
        <v>42</v>
      </c>
      <c r="D32" s="128">
        <v>9.6466999999999994E-3</v>
      </c>
      <c r="E32" s="15" t="s">
        <v>163</v>
      </c>
      <c r="F32" s="125" t="s">
        <v>14</v>
      </c>
      <c r="G32" s="45">
        <f>G27</f>
        <v>1.248</v>
      </c>
      <c r="H32" s="45">
        <f t="shared" ref="H32:N32" si="4">H27</f>
        <v>0.38200000000000001</v>
      </c>
      <c r="I32" s="45">
        <f t="shared" si="4"/>
        <v>-6.9000000000000006E-2</v>
      </c>
      <c r="J32" s="45">
        <f t="shared" si="4"/>
        <v>0.624</v>
      </c>
      <c r="K32" s="45">
        <f t="shared" si="4"/>
        <v>8.7999999999999995E-2</v>
      </c>
      <c r="L32" s="45">
        <f t="shared" si="4"/>
        <v>0.43</v>
      </c>
      <c r="M32" s="45">
        <f t="shared" si="4"/>
        <v>1.4319999999999999</v>
      </c>
      <c r="N32" s="53">
        <f t="shared" si="4"/>
        <v>0.23200000000000001</v>
      </c>
      <c r="R32" s="30"/>
      <c r="S32" s="13"/>
      <c r="T32" s="3"/>
      <c r="U32" s="3"/>
      <c r="V32" s="3"/>
      <c r="W32" s="3"/>
      <c r="X32" s="13"/>
    </row>
    <row r="33" spans="1:31" x14ac:dyDescent="0.2">
      <c r="C33" s="69" t="s">
        <v>43</v>
      </c>
      <c r="D33" s="128">
        <v>0.149864</v>
      </c>
      <c r="E33" s="183">
        <f>MAX(G33:N33)-MIN(G33:N33)</f>
        <v>2.1207689758077963E-2</v>
      </c>
      <c r="F33" s="57" t="s">
        <v>15</v>
      </c>
      <c r="G33" s="264">
        <f t="shared" ref="G33:N33" si="5">((($D$30*G31)+$D$31)*G31+$D$32)/((((G31+$D$33)*G31)+$D$34)*G31+$D$35)</f>
        <v>1.0268170650497024</v>
      </c>
      <c r="H33" s="264">
        <f t="shared" si="5"/>
        <v>1.0280207146699982</v>
      </c>
      <c r="I33" s="264">
        <f t="shared" si="5"/>
        <v>1.0163484912221121</v>
      </c>
      <c r="J33" s="264">
        <f t="shared" si="5"/>
        <v>1.0375561809801901</v>
      </c>
      <c r="K33" s="264">
        <f t="shared" si="5"/>
        <v>1.0313115467851417</v>
      </c>
      <c r="L33" s="264">
        <f t="shared" si="5"/>
        <v>1.0221445856452498</v>
      </c>
      <c r="M33" s="264">
        <f t="shared" si="5"/>
        <v>1.0229325599605743</v>
      </c>
      <c r="N33" s="265">
        <f t="shared" si="5"/>
        <v>1.0280960959324759</v>
      </c>
      <c r="R33" s="30"/>
      <c r="S33" s="13"/>
      <c r="T33" s="3"/>
      <c r="U33" s="3"/>
      <c r="V33" s="3"/>
      <c r="W33" s="3"/>
      <c r="X33" s="13"/>
    </row>
    <row r="34" spans="1:31" x14ac:dyDescent="0.2">
      <c r="C34" s="69" t="s">
        <v>44</v>
      </c>
      <c r="D34" s="128">
        <v>1.02963E-2</v>
      </c>
      <c r="E34" s="2"/>
      <c r="F34" s="57" t="s">
        <v>16</v>
      </c>
      <c r="G34" s="45">
        <f t="shared" ref="G34:N34" si="6">G33*G27</f>
        <v>1.2814676971820285</v>
      </c>
      <c r="H34" s="45">
        <f t="shared" si="6"/>
        <v>0.39270391300393931</v>
      </c>
      <c r="I34" s="45">
        <f t="shared" si="6"/>
        <v>-7.0128045894325738E-2</v>
      </c>
      <c r="J34" s="45">
        <f t="shared" si="6"/>
        <v>0.64743505693163861</v>
      </c>
      <c r="K34" s="45">
        <f t="shared" si="6"/>
        <v>9.0755416117092466E-2</v>
      </c>
      <c r="L34" s="45">
        <f t="shared" si="6"/>
        <v>0.4395221718274574</v>
      </c>
      <c r="M34" s="45">
        <f t="shared" si="6"/>
        <v>1.4648394258635424</v>
      </c>
      <c r="N34" s="53">
        <f t="shared" si="6"/>
        <v>0.23851829425633442</v>
      </c>
      <c r="R34" s="30"/>
      <c r="S34" s="13"/>
      <c r="T34" s="3"/>
      <c r="U34" s="3"/>
      <c r="V34" s="3"/>
      <c r="W34" s="3"/>
      <c r="X34" s="13"/>
    </row>
    <row r="35" spans="1:31" x14ac:dyDescent="0.2">
      <c r="C35" s="70" t="s">
        <v>45</v>
      </c>
      <c r="D35" s="129">
        <v>3.03978E-4</v>
      </c>
      <c r="E35" s="2"/>
      <c r="F35" s="57" t="s">
        <v>17</v>
      </c>
      <c r="G35" s="395"/>
      <c r="H35" s="395">
        <f t="shared" ref="H35:N35" si="7">H26-H55</f>
        <v>-6.0199000000000025</v>
      </c>
      <c r="I35" s="395">
        <f>I26-I55</f>
        <v>-5.9468500000000004</v>
      </c>
      <c r="J35" s="395">
        <f t="shared" si="7"/>
        <v>-6.0644</v>
      </c>
      <c r="K35" s="395">
        <f t="shared" si="7"/>
        <v>-5.9838499999999994</v>
      </c>
      <c r="L35" s="395">
        <f t="shared" si="7"/>
        <v>-6.0599000000000007</v>
      </c>
      <c r="M35" s="395">
        <f t="shared" si="7"/>
        <v>-6.1639500000000007</v>
      </c>
      <c r="N35" s="396">
        <f t="shared" si="7"/>
        <v>-6.0039499999999997</v>
      </c>
      <c r="R35" s="30"/>
      <c r="S35" s="13"/>
      <c r="T35" s="3"/>
      <c r="U35" s="3"/>
      <c r="V35" s="3"/>
      <c r="W35" s="3"/>
      <c r="X35" s="13"/>
    </row>
    <row r="36" spans="1:31" ht="15.75" x14ac:dyDescent="0.25">
      <c r="A36" s="246" t="s">
        <v>79</v>
      </c>
      <c r="B36" s="75"/>
      <c r="C36" s="150" t="s">
        <v>160</v>
      </c>
      <c r="D36" s="151" t="s">
        <v>159</v>
      </c>
      <c r="E36" s="28"/>
      <c r="F36" s="270" t="s">
        <v>113</v>
      </c>
      <c r="G36" s="54">
        <f>$G$33-G33</f>
        <v>0</v>
      </c>
      <c r="H36" s="54">
        <f t="shared" ref="H36:N36" si="8">$G$33-H33</f>
        <v>-1.2036496202958435E-3</v>
      </c>
      <c r="I36" s="54">
        <f t="shared" si="8"/>
        <v>1.0468573827590255E-2</v>
      </c>
      <c r="J36" s="54">
        <f t="shared" si="8"/>
        <v>-1.0739115930487708E-2</v>
      </c>
      <c r="K36" s="54">
        <f t="shared" si="8"/>
        <v>-4.4944817354393152E-3</v>
      </c>
      <c r="L36" s="54">
        <f t="shared" si="8"/>
        <v>4.6724794044525897E-3</v>
      </c>
      <c r="M36" s="54">
        <f t="shared" si="8"/>
        <v>3.8845050891280763E-3</v>
      </c>
      <c r="N36" s="55">
        <f t="shared" si="8"/>
        <v>-1.2790308827734798E-3</v>
      </c>
      <c r="P36" s="189"/>
      <c r="Q36" s="26"/>
      <c r="R36" s="31"/>
      <c r="S36" s="13"/>
      <c r="T36" s="3"/>
      <c r="U36" s="13"/>
      <c r="V36" s="13"/>
      <c r="W36" s="13"/>
      <c r="X36" s="13"/>
    </row>
    <row r="37" spans="1:31" ht="31.5" x14ac:dyDescent="0.25">
      <c r="A37" s="61" t="s">
        <v>83</v>
      </c>
      <c r="C37" s="61" t="s">
        <v>90</v>
      </c>
      <c r="D37" s="102"/>
      <c r="F37" s="149" t="s">
        <v>75</v>
      </c>
      <c r="H37" s="267" t="s">
        <v>84</v>
      </c>
      <c r="I37" s="102"/>
      <c r="J37" s="268" t="s">
        <v>85</v>
      </c>
      <c r="K37" s="254"/>
      <c r="L37" s="269"/>
      <c r="M37" s="189" t="s">
        <v>22</v>
      </c>
      <c r="N37" s="254"/>
      <c r="P37" s="12"/>
      <c r="Q37" s="13"/>
      <c r="R37" s="29"/>
      <c r="S37" s="13"/>
      <c r="T37" s="3"/>
      <c r="U37" s="13"/>
      <c r="V37" s="13"/>
      <c r="W37" s="13"/>
      <c r="X37" s="13"/>
    </row>
    <row r="38" spans="1:31" x14ac:dyDescent="0.2">
      <c r="A38" s="61" t="s">
        <v>81</v>
      </c>
      <c r="C38" s="61" t="s">
        <v>91</v>
      </c>
      <c r="D38" s="102"/>
      <c r="F38" s="271"/>
      <c r="G38" s="48" t="s">
        <v>23</v>
      </c>
      <c r="H38" s="48" t="s">
        <v>24</v>
      </c>
      <c r="I38" s="77" t="s">
        <v>25</v>
      </c>
      <c r="J38" s="48" t="s">
        <v>24</v>
      </c>
      <c r="K38" s="77" t="s">
        <v>25</v>
      </c>
      <c r="L38" s="82" t="s">
        <v>23</v>
      </c>
      <c r="M38" s="48" t="s">
        <v>24</v>
      </c>
      <c r="N38" s="77" t="s">
        <v>25</v>
      </c>
      <c r="P38" s="190"/>
      <c r="Q38" s="13"/>
      <c r="R38" s="32"/>
      <c r="S38" s="13"/>
      <c r="T38" s="26"/>
      <c r="U38" s="26"/>
      <c r="V38" s="12"/>
      <c r="W38" s="12"/>
      <c r="X38" s="13"/>
    </row>
    <row r="39" spans="1:31" x14ac:dyDescent="0.2">
      <c r="A39" s="61" t="s">
        <v>82</v>
      </c>
      <c r="C39" s="61" t="s">
        <v>92</v>
      </c>
      <c r="D39" s="102"/>
      <c r="E39" s="307" t="s">
        <v>161</v>
      </c>
      <c r="F39" s="73" t="s">
        <v>26</v>
      </c>
      <c r="G39" s="41">
        <f t="array" ref="G39:I40">LINEST(I35:N35,I32:N33,1,1)</f>
        <v>-0.42819731369734404</v>
      </c>
      <c r="H39" s="41">
        <v>-0.13965349012405767</v>
      </c>
      <c r="I39" s="78">
        <v>-5.5339437623052152</v>
      </c>
      <c r="J39" s="393">
        <f t="array" ref="J39:K40">LINEST(I35:N35,I32:N32,1,1)</f>
        <v>-0.14015518347821057</v>
      </c>
      <c r="K39" s="394">
        <v>-5.9732158771366892</v>
      </c>
      <c r="L39" s="186">
        <f>IF(A40=0,0,IF(A40=1,0,G39))</f>
        <v>0</v>
      </c>
      <c r="M39" s="81">
        <f>IF(A40=0,0,IF(A40=1,J39,H39))</f>
        <v>-0.14015518347821057</v>
      </c>
      <c r="N39" s="83">
        <f>IF(A40=0,,IF(A40=1,K39,I39))</f>
        <v>-5.9732158771366892</v>
      </c>
      <c r="P39" s="13"/>
      <c r="Q39" s="13"/>
      <c r="R39" s="30"/>
      <c r="S39" s="13"/>
      <c r="T39" s="3"/>
      <c r="U39" s="3"/>
      <c r="V39" s="3"/>
      <c r="W39" s="3"/>
      <c r="X39" s="13"/>
    </row>
    <row r="40" spans="1:31" x14ac:dyDescent="0.2">
      <c r="A40" s="266">
        <v>1</v>
      </c>
      <c r="B40" s="306"/>
      <c r="C40" s="266">
        <v>2</v>
      </c>
      <c r="D40" s="139"/>
      <c r="F40" s="224" t="s">
        <v>27</v>
      </c>
      <c r="G40" s="79">
        <v>1.1138046938428274</v>
      </c>
      <c r="H40" s="79">
        <v>1.5589282257865133E-2</v>
      </c>
      <c r="I40" s="80">
        <v>1.1426592587101618</v>
      </c>
      <c r="J40" s="84">
        <v>1.3780741781972144E-2</v>
      </c>
      <c r="K40" s="85">
        <v>9.2293751006816832E-3</v>
      </c>
      <c r="L40" s="138"/>
      <c r="M40" s="123"/>
      <c r="N40" s="139"/>
      <c r="P40" s="12"/>
      <c r="Q40" s="13"/>
      <c r="R40" s="31"/>
      <c r="S40" s="13"/>
      <c r="T40" s="3"/>
      <c r="U40" s="13"/>
      <c r="V40" s="13"/>
      <c r="W40" s="13"/>
      <c r="X40" s="13"/>
    </row>
    <row r="41" spans="1:31" x14ac:dyDescent="0.2">
      <c r="C41" s="46"/>
      <c r="R41" s="7"/>
      <c r="S41" s="7"/>
      <c r="T41" s="7"/>
      <c r="Y41" s="31"/>
      <c r="Z41" s="13"/>
      <c r="AA41" s="3"/>
      <c r="AB41" s="13"/>
      <c r="AC41" s="13"/>
      <c r="AD41" s="13"/>
      <c r="AE41" s="13"/>
    </row>
    <row r="42" spans="1:31" ht="31.5" x14ac:dyDescent="0.25">
      <c r="F42" s="149" t="s">
        <v>72</v>
      </c>
      <c r="G42" s="51"/>
      <c r="H42" s="51"/>
      <c r="I42" s="51"/>
      <c r="J42" s="51"/>
      <c r="K42" s="51"/>
      <c r="L42" s="51"/>
      <c r="M42" s="51"/>
      <c r="N42" s="156"/>
      <c r="R42" s="2"/>
      <c r="S42" s="2"/>
      <c r="T42" s="2"/>
      <c r="Y42" s="33"/>
      <c r="Z42" s="22"/>
      <c r="AA42" s="13"/>
      <c r="AB42" s="13"/>
      <c r="AC42" s="13"/>
      <c r="AD42" s="13"/>
      <c r="AE42" s="13"/>
    </row>
    <row r="43" spans="1:31" x14ac:dyDescent="0.2">
      <c r="F43" s="115"/>
      <c r="G43" s="15" t="s">
        <v>52</v>
      </c>
      <c r="H43" s="15" t="s">
        <v>51</v>
      </c>
      <c r="I43" s="40" t="s">
        <v>63</v>
      </c>
      <c r="J43" s="15" t="s">
        <v>64</v>
      </c>
      <c r="K43" s="15" t="s">
        <v>65</v>
      </c>
      <c r="L43" s="15" t="s">
        <v>66</v>
      </c>
      <c r="M43" s="39" t="s">
        <v>67</v>
      </c>
      <c r="N43" s="87" t="s">
        <v>68</v>
      </c>
      <c r="R43" s="2"/>
      <c r="S43" s="2"/>
      <c r="T43" s="2"/>
      <c r="Y43" s="13"/>
      <c r="Z43" s="13"/>
      <c r="AA43" s="13"/>
      <c r="AB43" s="13"/>
      <c r="AC43" s="13"/>
      <c r="AD43" s="13"/>
      <c r="AE43" s="13"/>
    </row>
    <row r="44" spans="1:31" x14ac:dyDescent="0.2">
      <c r="F44" s="73" t="s">
        <v>28</v>
      </c>
      <c r="G44" s="25" t="str">
        <f t="shared" ref="G44:N44" si="9">G23</f>
        <v>HD 157487</v>
      </c>
      <c r="H44" s="25" t="str">
        <f t="shared" si="9"/>
        <v>HD 157316</v>
      </c>
      <c r="I44" s="25" t="str">
        <f t="shared" si="9"/>
        <v>HD 159707</v>
      </c>
      <c r="J44" s="25" t="str">
        <f t="shared" si="9"/>
        <v>HD 156236</v>
      </c>
      <c r="K44" s="25" t="str">
        <f t="shared" si="9"/>
        <v>HD 156623</v>
      </c>
      <c r="L44" s="25" t="str">
        <f t="shared" si="9"/>
        <v>HD 157795</v>
      </c>
      <c r="M44" s="25" t="str">
        <f t="shared" si="9"/>
        <v>HD 159384</v>
      </c>
      <c r="N44" s="63" t="str">
        <f t="shared" si="9"/>
        <v>HD 156398</v>
      </c>
      <c r="R44" s="2"/>
      <c r="S44" s="2"/>
      <c r="T44" s="2"/>
      <c r="Y44" s="26"/>
      <c r="Z44" s="1"/>
      <c r="AA44" s="13"/>
      <c r="AB44" s="13"/>
      <c r="AC44" s="13"/>
      <c r="AD44" s="13"/>
      <c r="AE44" s="13"/>
    </row>
    <row r="45" spans="1:31" x14ac:dyDescent="0.2">
      <c r="F45" s="272" t="s">
        <v>29</v>
      </c>
      <c r="G45" s="37">
        <f t="shared" ref="G45:N45" si="10">$M$39*G32+$L$39*G33+$N$39+G55</f>
        <v>7.6642704538825059</v>
      </c>
      <c r="H45" s="37">
        <f t="shared" si="10"/>
        <v>6.6491448427746365</v>
      </c>
      <c r="I45" s="37">
        <f t="shared" si="10"/>
        <v>6.0743048305233076</v>
      </c>
      <c r="J45" s="37">
        <f t="shared" si="10"/>
        <v>7.2167272883729074</v>
      </c>
      <c r="K45" s="37">
        <f t="shared" si="10"/>
        <v>7.2503004667172277</v>
      </c>
      <c r="L45" s="37">
        <f t="shared" si="10"/>
        <v>7.2804173939676806</v>
      </c>
      <c r="M45" s="37">
        <f t="shared" si="10"/>
        <v>7.3730319001225144</v>
      </c>
      <c r="N45" s="132">
        <f t="shared" si="10"/>
        <v>6.6422181202963655</v>
      </c>
      <c r="R45" s="2"/>
      <c r="S45" s="2"/>
      <c r="T45" s="2"/>
      <c r="Y45" s="26"/>
      <c r="Z45" s="34"/>
      <c r="AA45" s="13"/>
      <c r="AB45" s="13"/>
      <c r="AC45" s="13"/>
      <c r="AD45" s="13"/>
      <c r="AE45" s="13"/>
    </row>
    <row r="46" spans="1:31" x14ac:dyDescent="0.2">
      <c r="F46" s="273" t="s">
        <v>70</v>
      </c>
      <c r="G46" s="36"/>
      <c r="H46" s="183">
        <f t="shared" ref="H46:N46" si="11">IF($A$40=0,"N/A",H26-H45)</f>
        <v>6.8551572253632287E-3</v>
      </c>
      <c r="I46" s="183">
        <f t="shared" si="11"/>
        <v>1.6695169476692584E-2</v>
      </c>
      <c r="J46" s="183">
        <f t="shared" si="11"/>
        <v>-3.7272883729073669E-3</v>
      </c>
      <c r="K46" s="183">
        <f t="shared" si="11"/>
        <v>1.6995332827720588E-3</v>
      </c>
      <c r="L46" s="183">
        <f t="shared" si="11"/>
        <v>-2.6417393967681058E-2</v>
      </c>
      <c r="M46" s="183">
        <f t="shared" si="11"/>
        <v>9.9680998774855922E-3</v>
      </c>
      <c r="N46" s="184">
        <f t="shared" si="11"/>
        <v>1.7818797036346368E-3</v>
      </c>
      <c r="R46" s="2"/>
      <c r="S46" s="2"/>
      <c r="T46" s="2"/>
      <c r="Y46" s="26"/>
      <c r="Z46" s="34"/>
      <c r="AA46" s="13"/>
      <c r="AB46" s="13"/>
      <c r="AC46" s="13"/>
      <c r="AD46" s="13"/>
      <c r="AE46" s="13"/>
    </row>
    <row r="47" spans="1:31" x14ac:dyDescent="0.2">
      <c r="F47" s="273" t="s">
        <v>80</v>
      </c>
      <c r="G47" s="36"/>
      <c r="H47" s="183">
        <f>ABS(H46)</f>
        <v>6.8551572253632287E-3</v>
      </c>
      <c r="I47" s="183">
        <f t="shared" ref="I47:N47" si="12">ABS(I46)</f>
        <v>1.6695169476692584E-2</v>
      </c>
      <c r="J47" s="183">
        <f t="shared" si="12"/>
        <v>3.7272883729073669E-3</v>
      </c>
      <c r="K47" s="183">
        <f t="shared" si="12"/>
        <v>1.6995332827720588E-3</v>
      </c>
      <c r="L47" s="183">
        <f t="shared" si="12"/>
        <v>2.6417393967681058E-2</v>
      </c>
      <c r="M47" s="183">
        <f t="shared" si="12"/>
        <v>9.9680998774855922E-3</v>
      </c>
      <c r="N47" s="184">
        <f t="shared" si="12"/>
        <v>1.7818797036346368E-3</v>
      </c>
    </row>
    <row r="48" spans="1:31" x14ac:dyDescent="0.2">
      <c r="F48" s="274"/>
      <c r="G48" s="13"/>
      <c r="H48" s="133" t="s">
        <v>30</v>
      </c>
      <c r="I48" s="36">
        <f>IF($A$40=0,"N/A",MAX(H47:N47))</f>
        <v>2.6417393967681058E-2</v>
      </c>
      <c r="J48" s="11"/>
      <c r="K48" s="13"/>
      <c r="L48" s="13"/>
      <c r="M48" s="13"/>
      <c r="N48" s="134"/>
      <c r="R48" s="2"/>
      <c r="S48" s="2"/>
      <c r="T48" s="2"/>
      <c r="Y48" s="13"/>
      <c r="Z48" s="13"/>
      <c r="AA48" s="13"/>
      <c r="AB48" s="13"/>
      <c r="AC48" s="13"/>
      <c r="AD48" s="13"/>
      <c r="AE48" s="13"/>
    </row>
    <row r="49" spans="1:39" x14ac:dyDescent="0.2">
      <c r="F49" s="274"/>
      <c r="G49" s="13"/>
      <c r="H49" s="133" t="s">
        <v>31</v>
      </c>
      <c r="I49" s="36">
        <f>IF($A$40=0,"N/A",ABS(H45-H26))</f>
        <v>6.8551572253632287E-3</v>
      </c>
      <c r="J49" s="11"/>
      <c r="K49" s="13"/>
      <c r="L49" s="13"/>
      <c r="M49" s="13"/>
      <c r="N49" s="134"/>
      <c r="R49" s="2"/>
      <c r="S49" s="2"/>
      <c r="T49" s="2"/>
      <c r="Y49" s="13"/>
      <c r="Z49" s="13"/>
      <c r="AA49" s="13"/>
      <c r="AB49" s="13"/>
      <c r="AC49" s="13"/>
      <c r="AD49" s="13"/>
      <c r="AE49" s="13"/>
    </row>
    <row r="50" spans="1:39" x14ac:dyDescent="0.2">
      <c r="F50" s="275"/>
      <c r="G50" s="135"/>
      <c r="H50" s="136" t="s">
        <v>32</v>
      </c>
      <c r="I50" s="185" t="str">
        <f>IF(OR(MAX(G33:N33) &lt; 0.99, MAX(G33:N33) &gt; 4), "ERROR","OK")</f>
        <v>OK</v>
      </c>
      <c r="J50" s="72"/>
      <c r="K50" s="135"/>
      <c r="L50" s="135"/>
      <c r="M50" s="135"/>
      <c r="N50" s="137"/>
      <c r="R50" s="2"/>
      <c r="S50" s="2"/>
      <c r="T50" s="2"/>
    </row>
    <row r="51" spans="1:39" x14ac:dyDescent="0.2">
      <c r="A51" s="2"/>
      <c r="B51" s="2"/>
      <c r="C51" s="2"/>
      <c r="D51" s="2"/>
      <c r="E51" s="2"/>
      <c r="L51" s="5"/>
      <c r="N51" s="2"/>
      <c r="Q51" s="13"/>
      <c r="R51" s="2"/>
      <c r="S51" s="2"/>
      <c r="T51" s="2"/>
      <c r="X51" s="158"/>
      <c r="Y51" s="158"/>
      <c r="AB51" s="15"/>
      <c r="AE51" s="15"/>
      <c r="AG51" s="15"/>
      <c r="AH51" s="15"/>
    </row>
    <row r="52" spans="1:39" ht="27" customHeight="1" x14ac:dyDescent="0.25">
      <c r="A52" s="149" t="s">
        <v>141</v>
      </c>
      <c r="B52" s="150" t="s">
        <v>52</v>
      </c>
      <c r="C52" s="152" t="s">
        <v>10</v>
      </c>
      <c r="D52" s="150" t="s">
        <v>51</v>
      </c>
      <c r="E52" s="151" t="s">
        <v>10</v>
      </c>
      <c r="F52" s="225"/>
      <c r="G52" s="52" t="str">
        <f>G23</f>
        <v>HD 157487</v>
      </c>
      <c r="H52" s="52" t="str">
        <f t="shared" ref="G52:N52" si="13">H23</f>
        <v>HD 157316</v>
      </c>
      <c r="I52" s="52" t="str">
        <f t="shared" si="13"/>
        <v>HD 159707</v>
      </c>
      <c r="J52" s="52" t="str">
        <f t="shared" si="13"/>
        <v>HD 156236</v>
      </c>
      <c r="K52" s="52" t="str">
        <f t="shared" si="13"/>
        <v>HD 156623</v>
      </c>
      <c r="L52" s="52" t="str">
        <f t="shared" si="13"/>
        <v>HD 157795</v>
      </c>
      <c r="M52" s="52" t="str">
        <f t="shared" si="13"/>
        <v>HD 159384</v>
      </c>
      <c r="N52" s="52" t="str">
        <f t="shared" si="13"/>
        <v>HD 156398</v>
      </c>
      <c r="O52" s="217" t="s">
        <v>33</v>
      </c>
      <c r="P52" s="226"/>
      <c r="Q52" s="227"/>
      <c r="R52" s="226" t="s">
        <v>69</v>
      </c>
      <c r="S52" s="301"/>
      <c r="T52" s="65"/>
      <c r="U52" s="52"/>
      <c r="V52" s="50"/>
      <c r="W52" s="51"/>
      <c r="X52" s="51"/>
      <c r="Y52" s="51"/>
      <c r="Z52" s="38"/>
      <c r="AA52" s="52"/>
      <c r="AB52" s="52"/>
      <c r="AC52" s="52"/>
      <c r="AD52" s="58"/>
      <c r="AE52" s="52"/>
      <c r="AF52" s="38"/>
      <c r="AG52" s="52"/>
      <c r="AH52" s="67"/>
      <c r="AJ52" s="15"/>
      <c r="AK52" s="7"/>
      <c r="AL52" s="7"/>
      <c r="AM52" s="7"/>
    </row>
    <row r="53" spans="1:39" s="13" customFormat="1" ht="26.25" x14ac:dyDescent="0.25">
      <c r="A53" s="297"/>
      <c r="C53" s="140" t="str">
        <f>IF(A40=0,"Standardised","Transformed")</f>
        <v>Transformed</v>
      </c>
      <c r="E53" s="140" t="str">
        <f>IF(A40=0,"Standardised","Transformed")</f>
        <v>Transformed</v>
      </c>
      <c r="F53" s="299"/>
      <c r="G53" s="12"/>
      <c r="H53" s="12"/>
      <c r="I53" s="12"/>
      <c r="J53" s="12"/>
      <c r="K53" s="12"/>
      <c r="L53" s="12"/>
      <c r="M53" s="12"/>
      <c r="N53" s="12"/>
      <c r="O53" s="269"/>
      <c r="P53" s="26"/>
      <c r="Q53" s="26"/>
      <c r="R53" s="26"/>
      <c r="S53" s="300"/>
      <c r="T53" s="48"/>
      <c r="U53" s="12"/>
      <c r="V53" s="269"/>
      <c r="X53" s="158" t="s">
        <v>156</v>
      </c>
      <c r="Y53" s="15" t="s">
        <v>157</v>
      </c>
      <c r="Z53" s="302"/>
      <c r="AA53" s="12"/>
      <c r="AB53" s="12" t="s">
        <v>52</v>
      </c>
      <c r="AC53" s="12"/>
      <c r="AD53" s="169"/>
      <c r="AE53" s="12" t="s">
        <v>51</v>
      </c>
      <c r="AF53" s="302"/>
      <c r="AG53" s="12" t="s">
        <v>52</v>
      </c>
      <c r="AH53" s="248" t="s">
        <v>51</v>
      </c>
      <c r="AJ53" s="12"/>
      <c r="AK53" s="8"/>
      <c r="AL53" s="8"/>
      <c r="AM53" s="8"/>
    </row>
    <row r="54" spans="1:39" x14ac:dyDescent="0.2">
      <c r="A54" s="115"/>
      <c r="B54" s="141" t="s">
        <v>34</v>
      </c>
      <c r="C54" s="140" t="str">
        <f>IF(C40=1,"B Mag",IF(C40=2,"V Mag","R Mag"))</f>
        <v>V Mag</v>
      </c>
      <c r="D54" s="61" t="s">
        <v>34</v>
      </c>
      <c r="E54" s="140" t="str">
        <f>IF(C40=1,"B Mag",IF(C40=2,"V Mag","R Mag"))</f>
        <v>V Mag</v>
      </c>
      <c r="F54" s="73" t="s">
        <v>37</v>
      </c>
      <c r="G54" s="15" t="s">
        <v>52</v>
      </c>
      <c r="H54" s="15" t="s">
        <v>51</v>
      </c>
      <c r="I54" s="40" t="s">
        <v>63</v>
      </c>
      <c r="J54" s="15" t="s">
        <v>64</v>
      </c>
      <c r="K54" s="15" t="s">
        <v>65</v>
      </c>
      <c r="L54" s="15" t="s">
        <v>66</v>
      </c>
      <c r="M54" s="39" t="s">
        <v>67</v>
      </c>
      <c r="N54" s="15" t="s">
        <v>68</v>
      </c>
      <c r="O54" s="169" t="s">
        <v>77</v>
      </c>
      <c r="P54" s="40" t="s">
        <v>56</v>
      </c>
      <c r="Q54" s="12" t="s">
        <v>57</v>
      </c>
      <c r="R54" s="15" t="s">
        <v>58</v>
      </c>
      <c r="S54" s="15" t="s">
        <v>59</v>
      </c>
      <c r="T54" s="39" t="s">
        <v>60</v>
      </c>
      <c r="U54" s="15" t="s">
        <v>61</v>
      </c>
      <c r="V54" s="61" t="s">
        <v>62</v>
      </c>
      <c r="W54" s="15" t="s">
        <v>38</v>
      </c>
      <c r="X54" s="15" t="s">
        <v>35</v>
      </c>
      <c r="Y54" s="12" t="s">
        <v>36</v>
      </c>
      <c r="Z54" s="87" t="s">
        <v>39</v>
      </c>
      <c r="AA54" s="40" t="s">
        <v>20</v>
      </c>
      <c r="AB54" s="40" t="s">
        <v>21</v>
      </c>
      <c r="AC54" s="15" t="s">
        <v>34</v>
      </c>
      <c r="AD54" s="88" t="s">
        <v>20</v>
      </c>
      <c r="AE54" s="40" t="s">
        <v>21</v>
      </c>
      <c r="AF54" s="87" t="s">
        <v>34</v>
      </c>
      <c r="AG54" s="48" t="s">
        <v>158</v>
      </c>
      <c r="AH54" s="77" t="s">
        <v>158</v>
      </c>
      <c r="AJ54" s="15"/>
    </row>
    <row r="55" spans="1:39" x14ac:dyDescent="0.2">
      <c r="A55" s="130"/>
      <c r="B55" s="288">
        <f>AC55</f>
        <v>1.0268170650497024</v>
      </c>
      <c r="C55" s="241">
        <f>IF($A$40=0,AG55,$M$39*$G$27+$L$39*B55+$N$39+G55)</f>
        <v>7.6642704538825059</v>
      </c>
      <c r="D55" s="94">
        <f>AF55</f>
        <v>1.0280207146699982</v>
      </c>
      <c r="E55" s="241">
        <f>IF($A$40=0,AH55,$M$39*$H$27+$L$39*D55+$N$39+H55)</f>
        <v>6.6491448427746365</v>
      </c>
      <c r="F55" s="392">
        <f>AVERAGE(F68:F87)</f>
        <v>2456908.8684594883</v>
      </c>
      <c r="G55" s="39">
        <f>AVERAGE(G68:G87)</f>
        <v>13.812400000000002</v>
      </c>
      <c r="H55" s="39">
        <f t="shared" ref="H55:N55" si="14">AVERAGE(H68:H87)</f>
        <v>12.675900000000002</v>
      </c>
      <c r="I55" s="39">
        <f t="shared" si="14"/>
        <v>12.037850000000001</v>
      </c>
      <c r="J55" s="39">
        <f t="shared" si="14"/>
        <v>13.2774</v>
      </c>
      <c r="K55" s="39">
        <f t="shared" si="14"/>
        <v>13.235849999999999</v>
      </c>
      <c r="L55" s="39">
        <f t="shared" si="14"/>
        <v>13.3139</v>
      </c>
      <c r="M55" s="39">
        <f t="shared" si="14"/>
        <v>13.546950000000001</v>
      </c>
      <c r="N55" s="39">
        <f t="shared" si="14"/>
        <v>12.64795</v>
      </c>
      <c r="O55" s="170">
        <f>IF(F55="","",F55-$B$24/24)</f>
        <v>2456908.8684594883</v>
      </c>
      <c r="P55" s="15">
        <f t="shared" ref="P55" si="15">IF(O55="","",YEAR($O55-2415018.5))</f>
        <v>2014</v>
      </c>
      <c r="Q55" s="12">
        <f t="shared" ref="Q55" si="16">IF(O55="","",MONTH(O55-2415018.5))</f>
        <v>9</v>
      </c>
      <c r="R55" s="15">
        <f t="shared" ref="R55" si="17">IF(O55="","",DAY(O55-2415018.5))</f>
        <v>8</v>
      </c>
      <c r="S55" s="15">
        <f t="shared" ref="S55" si="18">IF(O55="","",HOUR(O55-2415018.5))</f>
        <v>8</v>
      </c>
      <c r="T55" s="15">
        <f t="shared" ref="T55" si="19">IF(O55="","",MINUTE(O55-2415018.5))</f>
        <v>50</v>
      </c>
      <c r="U55" s="15">
        <f t="shared" ref="U55" si="20">IF(O55="","",SECOND(O55-2415018.5))</f>
        <v>35</v>
      </c>
      <c r="V55" s="108">
        <f>DATE(P55,Q55,R55)+2415018.5</f>
        <v>2456908.5</v>
      </c>
      <c r="W55" s="7">
        <f>DATE(2000,1,1)+0.5 + 2415018.5</f>
        <v>2451545</v>
      </c>
      <c r="X55" s="25">
        <f>MOD(18.697374558 + 24.0657098244191 * (V55-W55),24)</f>
        <v>23.132017829833785</v>
      </c>
      <c r="Y55" s="25">
        <f>MOD(X55+$D$27+1.00273790935*(S55+T55/60+U55/3600),24)</f>
        <v>18.065951536544134</v>
      </c>
      <c r="Z55" s="63">
        <f>Y55*(PI()/12)</f>
        <v>4.7296550522763567</v>
      </c>
      <c r="AA55" s="25">
        <f>Z55-$G$28</f>
        <v>0.16701532171278011</v>
      </c>
      <c r="AB55" s="41">
        <f>SIN($C$26)*SIN($G$29)+COS($C$26)*COS($G$29)*COS(AA55)</f>
        <v>0.97379974295641225</v>
      </c>
      <c r="AC55" s="25">
        <f>((($D$30*AB55)+$D$31)*AB55+$D$32)/((((AB55+$D$33)*AB55)+$D$34)*AB55+$D$35)</f>
        <v>1.0268170650497024</v>
      </c>
      <c r="AD55" s="108">
        <f>Z55-$H$28</f>
        <v>0.17120411191756624</v>
      </c>
      <c r="AE55" s="41">
        <f>SIN($C$26)*SIN($H$29)+COS($C$26)*COS($H$29)*COS(AD55)</f>
        <v>0.97265578571331268</v>
      </c>
      <c r="AF55" s="63">
        <f>((($D$30*AE55)+$D$31)*AE55+$D$32)/((((AE55+$D$33)*AE55)+$D$34)*AE55+$D$35)</f>
        <v>1.0280207146699982</v>
      </c>
      <c r="AG55" s="35">
        <f>AVERAGE(AG68:AG87)</f>
        <v>7.7752499999999998</v>
      </c>
      <c r="AH55" s="178">
        <f>AVERAGE(AH68:AH87)</f>
        <v>6.6387499999999999</v>
      </c>
      <c r="AJ55" s="7"/>
    </row>
    <row r="56" spans="1:39" x14ac:dyDescent="0.2">
      <c r="A56" s="130"/>
      <c r="B56" s="220"/>
      <c r="C56" s="241"/>
      <c r="D56" s="242" t="str">
        <f>IF(C40=1,"B Cat - B Mag",IF(C40=2,"V Cat - V Mag","R Cat - R Mag"))</f>
        <v>V Cat - V Mag</v>
      </c>
      <c r="E56" s="241">
        <f>H26-E55</f>
        <v>6.8551572253632287E-3</v>
      </c>
      <c r="F56" s="243" t="s">
        <v>78</v>
      </c>
      <c r="G56" s="39">
        <f t="shared" ref="G56:N56" si="21">STDEV(G68:G87)</f>
        <v>1.1154968997416749E-2</v>
      </c>
      <c r="H56" s="39">
        <f t="shared" si="21"/>
        <v>9.6861871870321178E-3</v>
      </c>
      <c r="I56" s="39">
        <f t="shared" si="21"/>
        <v>9.1531718849564916E-3</v>
      </c>
      <c r="J56" s="39">
        <f t="shared" si="21"/>
        <v>7.9923574605855596E-3</v>
      </c>
      <c r="K56" s="39">
        <f t="shared" si="21"/>
        <v>1.2101538010609085E-2</v>
      </c>
      <c r="L56" s="39">
        <f t="shared" si="21"/>
        <v>1.3312066372697976E-2</v>
      </c>
      <c r="M56" s="39">
        <f t="shared" si="21"/>
        <v>1.0613016117537229E-2</v>
      </c>
      <c r="N56" s="39">
        <f t="shared" si="21"/>
        <v>5.8235632467492221E-3</v>
      </c>
      <c r="O56" s="86"/>
      <c r="P56" s="23"/>
      <c r="Q56" s="26"/>
      <c r="R56" s="23"/>
      <c r="S56" s="24"/>
      <c r="T56" s="97"/>
      <c r="U56" s="97"/>
      <c r="V56" s="235"/>
      <c r="W56" s="18"/>
      <c r="Y56" s="5"/>
      <c r="Z56" s="236"/>
      <c r="AD56" s="240"/>
      <c r="AE56" s="6"/>
      <c r="AF56" s="101"/>
      <c r="AH56" s="101"/>
    </row>
    <row r="57" spans="1:39" x14ac:dyDescent="0.2">
      <c r="A57" s="131"/>
      <c r="B57" s="143"/>
      <c r="C57" s="142"/>
      <c r="D57" s="92"/>
      <c r="E57" s="142"/>
      <c r="F57" s="244" t="s">
        <v>162</v>
      </c>
      <c r="G57" s="93">
        <f>IF(G52="","",AVERAGE(Data!D11:D30)-AVERAGE(Data!L11:L30))</f>
        <v>0.66389999999999816</v>
      </c>
      <c r="H57" s="93">
        <f>IF(H52="","",AVERAGE(Data!E11:E30)-AVERAGE(Data!M11:M30))</f>
        <v>0.21920000000000073</v>
      </c>
      <c r="I57" s="93">
        <f>IF(I52="","",AVERAGE(Data!F11:F30)-AVERAGE(Data!N11:N30))</f>
        <v>-6.5500000000024983E-3</v>
      </c>
      <c r="J57" s="93">
        <f>IF(J52="","",AVERAGE(Data!G11:G30)-AVERAGE(Data!O11:O30))</f>
        <v>0.35130000000000017</v>
      </c>
      <c r="K57" s="93">
        <f>IF(K52="","",AVERAGE(Data!H11:H30)-AVERAGE(Data!P11:P30))</f>
        <v>5.4650000000000531E-2</v>
      </c>
      <c r="L57" s="93">
        <f>IF(L52="","",AVERAGE(Data!I11:I30)-AVERAGE(Data!Q11:Q30))</f>
        <v>0.23810000000000109</v>
      </c>
      <c r="M57" s="93">
        <f>IF(M52="","",AVERAGE(Data!J11:J30)-AVERAGE(Data!R11:R30))</f>
        <v>0.74905000000000044</v>
      </c>
      <c r="N57" s="93">
        <f>IF(N52="","",AVERAGE(Data!K11:K30)-AVERAGE(Data!S11:S30))</f>
        <v>0.14254999999999995</v>
      </c>
      <c r="O57" s="112"/>
      <c r="P57" s="98"/>
      <c r="Q57" s="216"/>
      <c r="R57" s="98"/>
      <c r="S57" s="99"/>
      <c r="T57" s="100"/>
      <c r="U57" s="100"/>
      <c r="V57" s="303"/>
      <c r="W57" s="109"/>
      <c r="X57" s="89"/>
      <c r="Y57" s="110"/>
      <c r="Z57" s="304"/>
      <c r="AA57" s="89"/>
      <c r="AB57" s="89"/>
      <c r="AC57" s="89"/>
      <c r="AD57" s="305"/>
      <c r="AE57" s="111"/>
      <c r="AF57" s="113"/>
      <c r="AG57" s="89"/>
      <c r="AH57" s="113"/>
    </row>
    <row r="58" spans="1:39" x14ac:dyDescent="0.2">
      <c r="B58" s="145"/>
      <c r="C58" s="144"/>
      <c r="D58" s="49"/>
      <c r="E58" s="144"/>
      <c r="G58" s="13"/>
      <c r="H58" s="39"/>
      <c r="I58" s="39"/>
      <c r="J58" s="39"/>
      <c r="K58" s="39"/>
      <c r="L58" s="39"/>
      <c r="M58" s="39"/>
      <c r="N58" s="39"/>
      <c r="P58" s="23"/>
      <c r="Q58" s="26"/>
      <c r="R58" s="23"/>
      <c r="S58" s="24"/>
      <c r="T58" s="97"/>
      <c r="U58" s="97"/>
      <c r="V58" s="17"/>
      <c r="W58" s="18"/>
      <c r="Y58" s="5"/>
      <c r="Z58" s="6"/>
      <c r="AD58" s="5"/>
      <c r="AE58" s="6"/>
    </row>
    <row r="59" spans="1:39" ht="27" customHeight="1" x14ac:dyDescent="0.25">
      <c r="A59" s="149" t="s">
        <v>74</v>
      </c>
      <c r="B59" s="154" t="s">
        <v>52</v>
      </c>
      <c r="C59" s="155" t="s">
        <v>10</v>
      </c>
      <c r="D59" s="150" t="s">
        <v>51</v>
      </c>
      <c r="E59" s="153" t="s">
        <v>10</v>
      </c>
      <c r="F59" s="225"/>
      <c r="G59" s="215"/>
      <c r="H59" s="66"/>
      <c r="I59" s="66"/>
      <c r="J59" s="52"/>
      <c r="K59" s="66"/>
      <c r="L59" s="66"/>
      <c r="M59" s="66"/>
      <c r="N59" s="221"/>
      <c r="O59" s="217" t="s">
        <v>33</v>
      </c>
      <c r="P59" s="226"/>
      <c r="Q59" s="227"/>
      <c r="R59" s="226"/>
      <c r="S59" s="228"/>
      <c r="T59" s="229"/>
      <c r="U59" s="230"/>
      <c r="V59" s="232"/>
      <c r="W59" s="233"/>
      <c r="X59" s="157"/>
      <c r="Y59" s="157"/>
      <c r="Z59" s="234"/>
      <c r="AA59" s="50"/>
      <c r="AB59" s="51"/>
      <c r="AC59" s="38"/>
      <c r="AD59" s="238"/>
      <c r="AE59" s="239"/>
      <c r="AF59" s="38"/>
      <c r="AG59" s="50"/>
      <c r="AH59" s="38"/>
    </row>
    <row r="60" spans="1:39" s="13" customFormat="1" ht="15.75" x14ac:dyDescent="0.25">
      <c r="A60" s="297"/>
      <c r="B60" s="298"/>
      <c r="C60" s="140" t="str">
        <f>IF(A40=0,"Standardised","Transformed")</f>
        <v>Transformed</v>
      </c>
      <c r="D60" s="298"/>
      <c r="E60" s="140" t="str">
        <f>IF(A40=0,"Standardised","Transformed")</f>
        <v>Transformed</v>
      </c>
      <c r="F60" s="299"/>
      <c r="G60" s="12"/>
      <c r="H60" s="12"/>
      <c r="I60" s="12"/>
      <c r="J60" s="12"/>
      <c r="K60" s="12"/>
      <c r="L60" s="12"/>
      <c r="M60" s="12"/>
      <c r="N60" s="12"/>
      <c r="O60" s="269"/>
      <c r="P60" s="26"/>
      <c r="Q60" s="26"/>
      <c r="R60" s="26"/>
      <c r="S60" s="300"/>
      <c r="T60" s="48"/>
      <c r="U60" s="248"/>
      <c r="X60" s="253"/>
      <c r="Y60" s="253"/>
      <c r="AA60" s="169"/>
      <c r="AB60" s="12"/>
      <c r="AC60" s="248"/>
      <c r="AD60" s="169"/>
      <c r="AE60" s="12"/>
      <c r="AF60" s="302"/>
      <c r="AG60" s="169"/>
      <c r="AH60" s="248"/>
      <c r="AJ60" s="12"/>
      <c r="AK60" s="8"/>
      <c r="AL60" s="8"/>
      <c r="AM60" s="8"/>
    </row>
    <row r="61" spans="1:39" x14ac:dyDescent="0.2">
      <c r="A61" s="115"/>
      <c r="B61" s="141"/>
      <c r="C61" s="140" t="str">
        <f>IF(C40=1,"B Mag",IF(C40=2,"V Mag","R Mag"))</f>
        <v>V Mag</v>
      </c>
      <c r="D61" s="61"/>
      <c r="E61" s="140" t="str">
        <f>IF(C40=1,"B Mag",IF(C40=2,"V Mag","R Mag"))</f>
        <v>V Mag</v>
      </c>
      <c r="F61" s="73"/>
      <c r="G61" s="15"/>
      <c r="H61" s="15"/>
      <c r="I61" s="40"/>
      <c r="J61" s="15"/>
      <c r="K61" s="15"/>
      <c r="L61" s="15"/>
      <c r="M61" s="39"/>
      <c r="N61" s="15"/>
      <c r="O61" s="169"/>
      <c r="P61" s="40"/>
      <c r="Q61" s="12"/>
      <c r="R61" s="15"/>
      <c r="S61" s="15"/>
      <c r="T61" s="39"/>
      <c r="U61" s="87"/>
      <c r="V61" s="15"/>
      <c r="W61" s="15"/>
      <c r="X61" s="15"/>
      <c r="Y61" s="12"/>
      <c r="Z61" s="15"/>
      <c r="AA61" s="88"/>
      <c r="AB61" s="40"/>
      <c r="AC61" s="87"/>
      <c r="AD61" s="88"/>
      <c r="AE61" s="40"/>
      <c r="AF61" s="87"/>
      <c r="AG61" s="82"/>
      <c r="AH61" s="77"/>
      <c r="AJ61" s="15"/>
    </row>
    <row r="62" spans="1:39" x14ac:dyDescent="0.2">
      <c r="B62" s="219" t="s">
        <v>50</v>
      </c>
      <c r="C62" s="187">
        <f>AVERAGE(C68:C87)</f>
        <v>7.6642704538825042</v>
      </c>
      <c r="D62" s="95" t="s">
        <v>50</v>
      </c>
      <c r="E62" s="187">
        <f>AVERAGE(E68:E87)</f>
        <v>6.6491448427746347</v>
      </c>
      <c r="F62" s="115"/>
      <c r="G62" s="13"/>
      <c r="H62" s="21"/>
      <c r="I62" s="21"/>
      <c r="J62" s="21"/>
      <c r="K62" s="21"/>
      <c r="L62" s="21"/>
      <c r="M62" s="21"/>
      <c r="N62" s="222"/>
      <c r="O62" s="86"/>
      <c r="Q62" s="13"/>
      <c r="R62" s="2"/>
      <c r="T62" s="16"/>
      <c r="U62" s="231"/>
      <c r="V62" s="235"/>
      <c r="W62" s="18"/>
      <c r="X62" s="15"/>
      <c r="Y62" s="5"/>
      <c r="Z62" s="236"/>
      <c r="AA62" s="86"/>
      <c r="AC62" s="101"/>
      <c r="AD62" s="240"/>
      <c r="AE62" s="6"/>
      <c r="AF62" s="101"/>
      <c r="AG62" s="86"/>
      <c r="AH62" s="101"/>
    </row>
    <row r="63" spans="1:39" x14ac:dyDescent="0.2">
      <c r="B63" s="220" t="s">
        <v>49</v>
      </c>
      <c r="C63" s="188">
        <f>STDEV(C68:C87)</f>
        <v>1.1154968997416749E-2</v>
      </c>
      <c r="D63" s="96" t="s">
        <v>49</v>
      </c>
      <c r="E63" s="188">
        <f>STDEV(E68:E87)</f>
        <v>9.6861871870321178E-3</v>
      </c>
      <c r="F63" s="115"/>
      <c r="G63" s="13"/>
      <c r="J63" s="15" t="s">
        <v>55</v>
      </c>
      <c r="N63" s="223"/>
      <c r="O63" s="86"/>
      <c r="Q63" s="13"/>
      <c r="R63" s="2"/>
      <c r="T63" s="16"/>
      <c r="U63" s="231"/>
      <c r="V63" s="235"/>
      <c r="W63" s="18"/>
      <c r="X63" s="15"/>
      <c r="Y63" s="40"/>
      <c r="Z63" s="236"/>
      <c r="AA63" s="86"/>
      <c r="AC63" s="101"/>
      <c r="AD63" s="240"/>
      <c r="AE63" s="6"/>
      <c r="AF63" s="101"/>
      <c r="AG63" s="86"/>
      <c r="AH63" s="101"/>
    </row>
    <row r="64" spans="1:39" x14ac:dyDescent="0.2">
      <c r="B64" s="143"/>
      <c r="C64" s="146"/>
      <c r="D64" s="92" t="str">
        <f>IF(C40=1,"B Cat - B Mag",IF(C40=2,"V Cat - V Mag","R Cat - R Mag"))</f>
        <v>V Cat - V Mag</v>
      </c>
      <c r="E64" s="146">
        <f>H26-E62</f>
        <v>6.855157225365005E-3</v>
      </c>
      <c r="F64" s="115"/>
      <c r="G64" s="13"/>
      <c r="N64" s="223"/>
      <c r="O64" s="86"/>
      <c r="Q64" s="13"/>
      <c r="R64" s="2"/>
      <c r="T64" s="2"/>
      <c r="U64" s="101"/>
      <c r="V64" s="86"/>
      <c r="Z64" s="101"/>
      <c r="AA64" s="86"/>
      <c r="AC64" s="101"/>
      <c r="AD64" s="86"/>
      <c r="AF64" s="101"/>
      <c r="AG64" s="61"/>
      <c r="AH64" s="87"/>
    </row>
    <row r="65" spans="1:34" ht="13.9" customHeight="1" x14ac:dyDescent="0.2">
      <c r="A65" s="73" t="s">
        <v>48</v>
      </c>
      <c r="B65" s="141"/>
      <c r="C65" s="140"/>
      <c r="D65" s="61"/>
      <c r="E65" s="140"/>
      <c r="F65" s="115"/>
      <c r="G65" s="15" t="str">
        <f t="shared" ref="G65:N65" si="22">G23</f>
        <v>HD 157487</v>
      </c>
      <c r="H65" s="15" t="str">
        <f t="shared" si="22"/>
        <v>HD 157316</v>
      </c>
      <c r="I65" s="15" t="str">
        <f t="shared" si="22"/>
        <v>HD 159707</v>
      </c>
      <c r="J65" s="15" t="str">
        <f t="shared" si="22"/>
        <v>HD 156236</v>
      </c>
      <c r="K65" s="15" t="str">
        <f t="shared" si="22"/>
        <v>HD 156623</v>
      </c>
      <c r="L65" s="15" t="str">
        <f t="shared" si="22"/>
        <v>HD 157795</v>
      </c>
      <c r="M65" s="15" t="str">
        <f t="shared" si="22"/>
        <v>HD 159384</v>
      </c>
      <c r="N65" s="87" t="str">
        <f t="shared" si="22"/>
        <v>HD 156398</v>
      </c>
      <c r="O65" s="86"/>
      <c r="Q65" s="5"/>
      <c r="R65" s="23" t="s">
        <v>69</v>
      </c>
      <c r="S65" s="7"/>
      <c r="T65" s="2"/>
      <c r="U65" s="101"/>
      <c r="V65" s="237"/>
      <c r="Z65" s="101"/>
      <c r="AA65" s="61"/>
      <c r="AB65" s="7"/>
      <c r="AC65" s="102"/>
      <c r="AD65" s="61"/>
      <c r="AE65" s="15"/>
      <c r="AF65" s="87"/>
      <c r="AG65" s="61"/>
      <c r="AH65" s="87"/>
    </row>
    <row r="66" spans="1:34" ht="13.9" customHeight="1" x14ac:dyDescent="0.2">
      <c r="A66" s="73"/>
      <c r="B66" s="141"/>
      <c r="C66" s="140" t="str">
        <f>IF(A40=0,"Standardised","Transformed")</f>
        <v>Transformed</v>
      </c>
      <c r="D66" s="61"/>
      <c r="E66" s="140" t="str">
        <f>IF(A40=0,"Standardised","Transformed")</f>
        <v>Transformed</v>
      </c>
      <c r="F66" s="115"/>
      <c r="G66" s="15"/>
      <c r="H66" s="15"/>
      <c r="I66" s="15"/>
      <c r="J66" s="15"/>
      <c r="K66" s="15"/>
      <c r="L66" s="15"/>
      <c r="M66" s="15"/>
      <c r="N66" s="87"/>
      <c r="O66" s="86"/>
      <c r="Q66" s="5"/>
      <c r="R66" s="23"/>
      <c r="S66" s="7"/>
      <c r="T66" s="2"/>
      <c r="U66" s="101"/>
      <c r="V66" s="237"/>
      <c r="X66" s="158" t="s">
        <v>156</v>
      </c>
      <c r="Y66" s="15" t="s">
        <v>157</v>
      </c>
      <c r="Z66" s="101"/>
      <c r="AA66" s="169"/>
      <c r="AB66" s="12" t="s">
        <v>52</v>
      </c>
      <c r="AC66" s="248"/>
      <c r="AD66" s="169"/>
      <c r="AE66" s="12" t="s">
        <v>51</v>
      </c>
      <c r="AF66" s="302"/>
      <c r="AG66" s="169"/>
      <c r="AH66" s="248"/>
    </row>
    <row r="67" spans="1:34" x14ac:dyDescent="0.2">
      <c r="A67" s="114" t="s">
        <v>73</v>
      </c>
      <c r="B67" s="147" t="s">
        <v>34</v>
      </c>
      <c r="C67" s="140" t="str">
        <f>IF(C40=1,"B Mag",IF(C40=2,"V Mag","R Mag"))</f>
        <v>V Mag</v>
      </c>
      <c r="D67" s="64" t="s">
        <v>34</v>
      </c>
      <c r="E67" s="140" t="str">
        <f>IF(C40=1,"B Mag",IF(C40=2,"V Mag","R Mag"))</f>
        <v>V Mag</v>
      </c>
      <c r="F67" s="224" t="s">
        <v>37</v>
      </c>
      <c r="G67" s="106" t="s">
        <v>52</v>
      </c>
      <c r="H67" s="106" t="s">
        <v>51</v>
      </c>
      <c r="I67" s="104" t="s">
        <v>63</v>
      </c>
      <c r="J67" s="106" t="s">
        <v>64</v>
      </c>
      <c r="K67" s="106" t="s">
        <v>65</v>
      </c>
      <c r="L67" s="106" t="s">
        <v>66</v>
      </c>
      <c r="M67" s="93" t="s">
        <v>67</v>
      </c>
      <c r="N67" s="105" t="s">
        <v>68</v>
      </c>
      <c r="O67" s="218" t="s">
        <v>77</v>
      </c>
      <c r="P67" s="104" t="s">
        <v>56</v>
      </c>
      <c r="Q67" s="106" t="s">
        <v>57</v>
      </c>
      <c r="R67" s="106" t="s">
        <v>58</v>
      </c>
      <c r="S67" s="106" t="s">
        <v>59</v>
      </c>
      <c r="T67" s="93" t="s">
        <v>60</v>
      </c>
      <c r="U67" s="105" t="s">
        <v>61</v>
      </c>
      <c r="V67" s="64" t="s">
        <v>62</v>
      </c>
      <c r="W67" s="106" t="s">
        <v>38</v>
      </c>
      <c r="X67" s="106" t="s">
        <v>35</v>
      </c>
      <c r="Y67" s="107" t="s">
        <v>36</v>
      </c>
      <c r="Z67" s="105" t="s">
        <v>39</v>
      </c>
      <c r="AA67" s="103" t="s">
        <v>20</v>
      </c>
      <c r="AB67" s="104" t="s">
        <v>21</v>
      </c>
      <c r="AC67" s="105" t="s">
        <v>34</v>
      </c>
      <c r="AD67" s="103" t="s">
        <v>20</v>
      </c>
      <c r="AE67" s="104" t="s">
        <v>21</v>
      </c>
      <c r="AF67" s="105" t="s">
        <v>34</v>
      </c>
      <c r="AG67" s="181" t="s">
        <v>158</v>
      </c>
      <c r="AH67" s="182" t="s">
        <v>158</v>
      </c>
    </row>
    <row r="68" spans="1:34" x14ac:dyDescent="0.2">
      <c r="A68" s="116">
        <v>1</v>
      </c>
      <c r="B68" s="119">
        <f t="shared" ref="B68:B87" si="23">IF(F68="","",AC68)</f>
        <v>1.0253895429592434</v>
      </c>
      <c r="C68" s="127">
        <f>IF(F68="","",IF($A$40=0,AG68,$M$39*$G$27+$L$39*B68+$N$39+G68))</f>
        <v>7.670870453882503</v>
      </c>
      <c r="D68" s="118">
        <f t="shared" ref="D68:D87" si="24">IF(F68="","",AF68)</f>
        <v>1.0265585441415082</v>
      </c>
      <c r="E68" s="173">
        <f t="shared" ref="E68:E87" si="25">IF(F68="","",IF($A$40=0,AH68,$M$39*$H$27+$L$39*D68+$N$39+H68))</f>
        <v>6.6427448427746336</v>
      </c>
      <c r="F68" s="204">
        <f>IF(Data!C11="","",Data!C11)</f>
        <v>2456908.86616319</v>
      </c>
      <c r="G68" s="205">
        <f>IF($F68="","",IF($C$40=1,Data!D11,IF($C$40=2,Data!L11,Data!T11)))</f>
        <v>13.818999999999999</v>
      </c>
      <c r="H68" s="205">
        <f>IF($F68="","",IF($C$40=1,Data!E11,IF($C$40=2,Data!M11,Data!U11)))</f>
        <v>12.669499999999999</v>
      </c>
      <c r="I68" s="205">
        <f>IF($F68="","",IF($C$40=1,Data!F11,IF($C$40=2,Data!N11,Data!V11)))</f>
        <v>12.035499999999999</v>
      </c>
      <c r="J68" s="205">
        <f>IF($F68="","",IF($C$40=1,Data!G11,IF($C$40=2,Data!O11,Data!W11)))</f>
        <v>13.266500000000001</v>
      </c>
      <c r="K68" s="205">
        <f>IF($F68="","",IF($C$40=1,Data!H11,IF($C$40=2,Data!P11,Data!X11)))</f>
        <v>13.249000000000001</v>
      </c>
      <c r="L68" s="205">
        <f>IF($F68="","",IF($C$40=1,Data!I11,IF($C$40=2,Data!Q11,Data!Y11)))</f>
        <v>13.332000000000001</v>
      </c>
      <c r="M68" s="206">
        <f>IF($F68="","",IF($C$40=1,Data!J11,IF($C$40=2,Data!R11,Data!Z11)))</f>
        <v>13.548500000000001</v>
      </c>
      <c r="N68" s="205">
        <f>IF($F68="","",IF($C$40=1,Data!K11,IF($C$40=2,Data!S11,Data!AA11)))</f>
        <v>12.643000000000001</v>
      </c>
      <c r="O68" s="171">
        <f t="shared" ref="O68:O87" si="26">IF(F68="","",F68-$B$24/24)</f>
        <v>2456908.86616319</v>
      </c>
      <c r="P68" s="120">
        <f>IF(O68="","",YEAR($O68-2415018.5))</f>
        <v>2014</v>
      </c>
      <c r="Q68" s="120">
        <f>IF(O68="","",MONTH(O68-2415018.5))</f>
        <v>9</v>
      </c>
      <c r="R68" s="120">
        <f>IF(O68="","",DAY(O68-2415018.5))</f>
        <v>8</v>
      </c>
      <c r="S68" s="120">
        <f>IF(O68="","",HOUR(O68-2415018.5))</f>
        <v>8</v>
      </c>
      <c r="T68" s="120">
        <f>IF(O68="","",MINUTE(O68-2415018.5))</f>
        <v>47</v>
      </c>
      <c r="U68" s="121">
        <f>IF(O68="","",SECOND(O68-2415018.5))</f>
        <v>16</v>
      </c>
      <c r="V68" s="59">
        <f t="shared" ref="V68:V87" si="27">IF(F68="","",DATE(P68,Q68,R68)+2415018.5)</f>
        <v>2456908.5</v>
      </c>
      <c r="W68" s="75">
        <f t="shared" ref="W68:W87" si="28">IF(F68="","",DATE(2000,1,1)+0.5 + 2415018.5)</f>
        <v>2451545</v>
      </c>
      <c r="X68" s="59">
        <f t="shared" ref="X68:X87" si="29">IF(F68="","",MOD(18.697374558 + 24.0657098244191 * (V68-W68),24))</f>
        <v>23.132017829833785</v>
      </c>
      <c r="Y68" s="59">
        <f t="shared" ref="Y68:Y87" si="30">IF(F68="","",MOD(X68+$D$27+1.00273790935*(S68+T68/60+U68/3600),24))</f>
        <v>18.010522413221722</v>
      </c>
      <c r="Z68" s="60">
        <f t="shared" ref="Z68:Z87" si="31">IF(F68="","",Y68*(PI()/12))</f>
        <v>4.7151437417243054</v>
      </c>
      <c r="AA68" s="122">
        <f t="shared" ref="AA68:AA87" si="32">IF(F68="","",Z68-$G$28)</f>
        <v>0.15250401116072876</v>
      </c>
      <c r="AB68" s="124">
        <f t="shared" ref="AB68:AB87" si="33">IF(F68="","",SIN($C$26)*SIN($G$29)+COS($C$26)*COS($G$29)*COS(AA68))</f>
        <v>0.97515994828376451</v>
      </c>
      <c r="AC68" s="59">
        <f t="shared" ref="AC68:AC87" si="34">IF(F68="","",((($D$30*AB68)+$D$31)*AB68+$D$32)/((((AB68+$D$33)*AB68)+$D$34)*AB68+$D$35))</f>
        <v>1.0253895429592434</v>
      </c>
      <c r="AD68" s="59">
        <f t="shared" ref="AD68:AD87" si="35">IF(F68="","",Z68-$H$28)</f>
        <v>0.15669280136551489</v>
      </c>
      <c r="AE68" s="124">
        <f t="shared" ref="AE68:AE87" si="36">IF(F68="","",SIN($C$26)*SIN($H$29)+COS($C$26)*COS($H$29)*COS(AD68))</f>
        <v>0.97404579271231562</v>
      </c>
      <c r="AF68" s="59">
        <f t="shared" ref="AF68:AF87" si="37">IF(F68="","",((($D$30*AE68)+$D$31)*AE68+$D$32)/((((AE68+$D$33)*AE68)+$D$34)*AE68+$D$35))</f>
        <v>1.0265585441415082</v>
      </c>
      <c r="AG68" s="177">
        <f t="shared" ref="AG68:AG87" si="38">IF(F68="","",(((G68-I68)+$I$26)+((G68-J68)+$J$26)+((G68-K68)+$K$26)+((G68-L68)+$L$26)+((G68-M68)+$M$26)+((G68-N68)+$N$26))/6)</f>
        <v>7.7794166666666662</v>
      </c>
      <c r="AH68" s="178">
        <f t="shared" ref="AH68:AH87" si="39">IF(F68="","",(((H68-I68)+$I$26)+((H68-J68)+$J$26)+((H68-K68)+$K$26)+((H68-L68)+$L$26)+((H68-M68)+$M$26)+((H68-N68)+$N$26))/6)</f>
        <v>6.6299166666666656</v>
      </c>
    </row>
    <row r="69" spans="1:34" x14ac:dyDescent="0.2">
      <c r="A69" s="117">
        <f>1+A68</f>
        <v>2</v>
      </c>
      <c r="B69" s="91">
        <f t="shared" si="23"/>
        <v>1.025693770532951</v>
      </c>
      <c r="C69" s="126">
        <f t="shared" ref="C68:C87" si="40">IF(F69="","",IF($A$40=0,AG69,$M$39*$G$27+$L$39*B69+$N$39+G69))</f>
        <v>7.6743704538825037</v>
      </c>
      <c r="D69" s="90">
        <f t="shared" si="24"/>
        <v>1.0268704424947719</v>
      </c>
      <c r="E69" s="174">
        <f t="shared" si="25"/>
        <v>6.6522448427746346</v>
      </c>
      <c r="F69" s="207">
        <f>IF(Data!C12="","",Data!C12)</f>
        <v>2456908.8666724502</v>
      </c>
      <c r="G69" s="36">
        <f>IF($F69="","",IF($C$40=1,Data!D12,IF($C$40=2,Data!L12,Data!T12)))</f>
        <v>13.8225</v>
      </c>
      <c r="H69" s="36">
        <f>IF($F69="","",IF($C$40=1,Data!E12,IF($C$40=2,Data!M12,Data!U12)))</f>
        <v>12.679</v>
      </c>
      <c r="I69" s="36">
        <f>IF($F69="","",IF($C$40=1,Data!F12,IF($C$40=2,Data!N12,Data!V12)))</f>
        <v>12.053000000000001</v>
      </c>
      <c r="J69" s="36">
        <f>IF($F69="","",IF($C$40=1,Data!G12,IF($C$40=2,Data!O12,Data!W12)))</f>
        <v>13.265499999999999</v>
      </c>
      <c r="K69" s="36">
        <f>IF($F69="","",IF($C$40=1,Data!H12,IF($C$40=2,Data!P12,Data!X12)))</f>
        <v>13.2585</v>
      </c>
      <c r="L69" s="36">
        <f>IF($F69="","",IF($C$40=1,Data!I12,IF($C$40=2,Data!Q12,Data!Y12)))</f>
        <v>13.3345</v>
      </c>
      <c r="M69" s="36">
        <f>IF($F69="","",IF($C$40=1,Data!J12,IF($C$40=2,Data!R12,Data!Z12)))</f>
        <v>13.561500000000001</v>
      </c>
      <c r="N69" s="36">
        <f>IF($F69="","",IF($C$40=1,Data!K12,IF($C$40=2,Data!S12,Data!AA12)))</f>
        <v>12.6455</v>
      </c>
      <c r="O69" s="170">
        <f t="shared" si="26"/>
        <v>2456908.8666724502</v>
      </c>
      <c r="P69" s="14">
        <f t="shared" ref="P69:P87" si="41">IF(O69="","",YEAR($O69-2415018.5))</f>
        <v>2014</v>
      </c>
      <c r="Q69" s="14">
        <f t="shared" ref="Q69:Q87" si="42">IF(O69="","",MONTH(O69-2415018.5))</f>
        <v>9</v>
      </c>
      <c r="R69" s="14">
        <f t="shared" ref="R69:R87" si="43">IF(O69="","",DAY(O69-2415018.5))</f>
        <v>8</v>
      </c>
      <c r="S69" s="14">
        <f t="shared" ref="S69:S87" si="44">IF(O69="","",HOUR(O69-2415018.5))</f>
        <v>8</v>
      </c>
      <c r="T69" s="14">
        <f t="shared" ref="T69:T87" si="45">IF(O69="","",MINUTE(O69-2415018.5))</f>
        <v>48</v>
      </c>
      <c r="U69" s="68">
        <f t="shared" ref="U69:U87" si="46">IF(O69="","",SECOND(O69-2415018.5))</f>
        <v>0</v>
      </c>
      <c r="V69" s="25">
        <f t="shared" si="27"/>
        <v>2456908.5</v>
      </c>
      <c r="W69" s="7">
        <f t="shared" si="28"/>
        <v>2451545</v>
      </c>
      <c r="X69" s="25">
        <f t="shared" si="29"/>
        <v>23.132017829833785</v>
      </c>
      <c r="Y69" s="25">
        <f t="shared" si="30"/>
        <v>18.022778098780449</v>
      </c>
      <c r="Z69" s="63">
        <f t="shared" si="31"/>
        <v>4.7183522727006393</v>
      </c>
      <c r="AA69" s="108">
        <f t="shared" si="32"/>
        <v>0.15571254213706265</v>
      </c>
      <c r="AB69" s="41">
        <f t="shared" si="33"/>
        <v>0.97486974981459906</v>
      </c>
      <c r="AC69" s="25">
        <f t="shared" si="34"/>
        <v>1.025693770532951</v>
      </c>
      <c r="AD69" s="25">
        <f t="shared" si="35"/>
        <v>0.15990133234184878</v>
      </c>
      <c r="AE69" s="41">
        <f t="shared" si="36"/>
        <v>0.97374895587663501</v>
      </c>
      <c r="AF69" s="25">
        <f t="shared" si="37"/>
        <v>1.0268704424947719</v>
      </c>
      <c r="AG69" s="177">
        <f t="shared" si="38"/>
        <v>7.7755833333333326</v>
      </c>
      <c r="AH69" s="178">
        <f t="shared" si="39"/>
        <v>6.632083333333334</v>
      </c>
    </row>
    <row r="70" spans="1:34" x14ac:dyDescent="0.2">
      <c r="A70" s="117">
        <f t="shared" ref="A70:A87" si="47">1+A69</f>
        <v>3</v>
      </c>
      <c r="B70" s="91">
        <f t="shared" si="23"/>
        <v>1.0260044663543533</v>
      </c>
      <c r="C70" s="126">
        <f t="shared" si="40"/>
        <v>7.6428704538825043</v>
      </c>
      <c r="D70" s="90">
        <f t="shared" si="24"/>
        <v>1.027188803375211</v>
      </c>
      <c r="E70" s="174">
        <f t="shared" si="25"/>
        <v>6.6382448427746334</v>
      </c>
      <c r="F70" s="207">
        <f>IF(Data!C13="","",Data!C13)</f>
        <v>2456908.86718171</v>
      </c>
      <c r="G70" s="36">
        <f>IF($F70="","",IF($C$40=1,Data!D13,IF($C$40=2,Data!L13,Data!T13)))</f>
        <v>13.791</v>
      </c>
      <c r="H70" s="36">
        <f>IF($F70="","",IF($C$40=1,Data!E13,IF($C$40=2,Data!M13,Data!U13)))</f>
        <v>12.664999999999999</v>
      </c>
      <c r="I70" s="36">
        <f>IF($F70="","",IF($C$40=1,Data!F13,IF($C$40=2,Data!N13,Data!V13)))</f>
        <v>12.036999999999999</v>
      </c>
      <c r="J70" s="36">
        <f>IF($F70="","",IF($C$40=1,Data!G13,IF($C$40=2,Data!O13,Data!W13)))</f>
        <v>13.289</v>
      </c>
      <c r="K70" s="36">
        <f>IF($F70="","",IF($C$40=1,Data!H13,IF($C$40=2,Data!P13,Data!X13)))</f>
        <v>13.223500000000001</v>
      </c>
      <c r="L70" s="36">
        <f>IF($F70="","",IF($C$40=1,Data!I13,IF($C$40=2,Data!Q13,Data!Y13)))</f>
        <v>13.2935</v>
      </c>
      <c r="M70" s="36">
        <f>IF($F70="","",IF($C$40=1,Data!J13,IF($C$40=2,Data!R13,Data!Z13)))</f>
        <v>13.534500000000001</v>
      </c>
      <c r="N70" s="36">
        <f>IF($F70="","",IF($C$40=1,Data!K13,IF($C$40=2,Data!S13,Data!AA13)))</f>
        <v>12.6515</v>
      </c>
      <c r="O70" s="170">
        <f t="shared" si="26"/>
        <v>2456908.86718171</v>
      </c>
      <c r="P70" s="14">
        <f t="shared" si="41"/>
        <v>2014</v>
      </c>
      <c r="Q70" s="14">
        <f t="shared" si="42"/>
        <v>9</v>
      </c>
      <c r="R70" s="14">
        <f t="shared" si="43"/>
        <v>8</v>
      </c>
      <c r="S70" s="14">
        <f t="shared" si="44"/>
        <v>8</v>
      </c>
      <c r="T70" s="14">
        <f t="shared" si="45"/>
        <v>48</v>
      </c>
      <c r="U70" s="68">
        <f t="shared" si="46"/>
        <v>44</v>
      </c>
      <c r="V70" s="25">
        <f t="shared" si="27"/>
        <v>2456908.5</v>
      </c>
      <c r="W70" s="7">
        <f t="shared" si="28"/>
        <v>2451545</v>
      </c>
      <c r="X70" s="25">
        <f t="shared" si="29"/>
        <v>23.132017829833785</v>
      </c>
      <c r="Y70" s="25">
        <f t="shared" si="30"/>
        <v>18.03503378433917</v>
      </c>
      <c r="Z70" s="63">
        <f t="shared" si="31"/>
        <v>4.7215608036769714</v>
      </c>
      <c r="AA70" s="108">
        <f t="shared" si="32"/>
        <v>0.15892107311339476</v>
      </c>
      <c r="AB70" s="41">
        <f t="shared" si="33"/>
        <v>0.97457355883016117</v>
      </c>
      <c r="AC70" s="25">
        <f t="shared" si="34"/>
        <v>1.0260044663543533</v>
      </c>
      <c r="AD70" s="25">
        <f t="shared" si="35"/>
        <v>0.16310986331818089</v>
      </c>
      <c r="AE70" s="41">
        <f t="shared" si="36"/>
        <v>0.97344615431752679</v>
      </c>
      <c r="AF70" s="25">
        <f t="shared" si="37"/>
        <v>1.027188803375211</v>
      </c>
      <c r="AG70" s="177">
        <f t="shared" si="38"/>
        <v>7.7590000000000003</v>
      </c>
      <c r="AH70" s="178">
        <f t="shared" si="39"/>
        <v>6.6329999999999991</v>
      </c>
    </row>
    <row r="71" spans="1:34" x14ac:dyDescent="0.2">
      <c r="A71" s="117">
        <f t="shared" si="47"/>
        <v>4</v>
      </c>
      <c r="B71" s="91">
        <f t="shared" si="23"/>
        <v>1.0263216388046608</v>
      </c>
      <c r="C71" s="126">
        <f t="shared" si="40"/>
        <v>7.6693704538825029</v>
      </c>
      <c r="D71" s="90">
        <f t="shared" si="24"/>
        <v>1.0275136353381433</v>
      </c>
      <c r="E71" s="174">
        <f t="shared" si="25"/>
        <v>6.6417448427746342</v>
      </c>
      <c r="F71" s="207">
        <f>IF(Data!C14="","",Data!C14)</f>
        <v>2456908.8676909702</v>
      </c>
      <c r="G71" s="36">
        <f>IF($F71="","",IF($C$40=1,Data!D14,IF($C$40=2,Data!L14,Data!T14)))</f>
        <v>13.817499999999999</v>
      </c>
      <c r="H71" s="36">
        <f>IF($F71="","",IF($C$40=1,Data!E14,IF($C$40=2,Data!M14,Data!U14)))</f>
        <v>12.6685</v>
      </c>
      <c r="I71" s="36">
        <f>IF($F71="","",IF($C$40=1,Data!F14,IF($C$40=2,Data!N14,Data!V14)))</f>
        <v>12.032999999999999</v>
      </c>
      <c r="J71" s="36">
        <f>IF($F71="","",IF($C$40=1,Data!G14,IF($C$40=2,Data!O14,Data!W14)))</f>
        <v>13.2805</v>
      </c>
      <c r="K71" s="36">
        <f>IF($F71="","",IF($C$40=1,Data!H14,IF($C$40=2,Data!P14,Data!X14)))</f>
        <v>13.244499999999999</v>
      </c>
      <c r="L71" s="36">
        <f>IF($F71="","",IF($C$40=1,Data!I14,IF($C$40=2,Data!Q14,Data!Y14)))</f>
        <v>13.307</v>
      </c>
      <c r="M71" s="36">
        <f>IF($F71="","",IF($C$40=1,Data!J14,IF($C$40=2,Data!R14,Data!Z14)))</f>
        <v>13.545500000000001</v>
      </c>
      <c r="N71" s="36">
        <f>IF($F71="","",IF($C$40=1,Data!K14,IF($C$40=2,Data!S14,Data!AA14)))</f>
        <v>12.647</v>
      </c>
      <c r="O71" s="170">
        <f t="shared" si="26"/>
        <v>2456908.8676909702</v>
      </c>
      <c r="P71" s="14">
        <f t="shared" si="41"/>
        <v>2014</v>
      </c>
      <c r="Q71" s="14">
        <f t="shared" si="42"/>
        <v>9</v>
      </c>
      <c r="R71" s="14">
        <f t="shared" si="43"/>
        <v>8</v>
      </c>
      <c r="S71" s="14">
        <f t="shared" si="44"/>
        <v>8</v>
      </c>
      <c r="T71" s="14">
        <f t="shared" si="45"/>
        <v>49</v>
      </c>
      <c r="U71" s="68">
        <f t="shared" si="46"/>
        <v>28</v>
      </c>
      <c r="V71" s="25">
        <f t="shared" si="27"/>
        <v>2456908.5</v>
      </c>
      <c r="W71" s="7">
        <f t="shared" si="28"/>
        <v>2451545</v>
      </c>
      <c r="X71" s="25">
        <f t="shared" si="29"/>
        <v>23.132017829833785</v>
      </c>
      <c r="Y71" s="25">
        <f t="shared" si="30"/>
        <v>18.047289469897891</v>
      </c>
      <c r="Z71" s="63">
        <f t="shared" si="31"/>
        <v>4.7247693346533035</v>
      </c>
      <c r="AA71" s="108">
        <f t="shared" si="32"/>
        <v>0.16212960408972688</v>
      </c>
      <c r="AB71" s="41">
        <f t="shared" si="33"/>
        <v>0.97427137837963662</v>
      </c>
      <c r="AC71" s="25">
        <f t="shared" si="34"/>
        <v>1.0263216388046608</v>
      </c>
      <c r="AD71" s="25">
        <f t="shared" si="35"/>
        <v>0.16631839429451301</v>
      </c>
      <c r="AE71" s="41">
        <f t="shared" si="36"/>
        <v>0.97313739115223008</v>
      </c>
      <c r="AF71" s="25">
        <f t="shared" si="37"/>
        <v>1.0275136353381433</v>
      </c>
      <c r="AG71" s="177">
        <f t="shared" si="38"/>
        <v>7.7807500000000003</v>
      </c>
      <c r="AH71" s="178">
        <f t="shared" si="39"/>
        <v>6.6317500000000003</v>
      </c>
    </row>
    <row r="72" spans="1:34" x14ac:dyDescent="0.2">
      <c r="A72" s="117">
        <f t="shared" si="47"/>
        <v>5</v>
      </c>
      <c r="B72" s="91">
        <f t="shared" si="23"/>
        <v>1.026645296444574</v>
      </c>
      <c r="C72" s="126">
        <f t="shared" si="40"/>
        <v>7.6503704538825046</v>
      </c>
      <c r="D72" s="90">
        <f t="shared" si="24"/>
        <v>1.0278449471177604</v>
      </c>
      <c r="E72" s="174">
        <f t="shared" si="25"/>
        <v>6.6652448427746345</v>
      </c>
      <c r="F72" s="207">
        <f>IF(Data!C15="","",Data!C15)</f>
        <v>2456908.8682002299</v>
      </c>
      <c r="G72" s="36">
        <f>IF($F72="","",IF($C$40=1,Data!D15,IF($C$40=2,Data!L15,Data!T15)))</f>
        <v>13.798500000000001</v>
      </c>
      <c r="H72" s="36">
        <f>IF($F72="","",IF($C$40=1,Data!E15,IF($C$40=2,Data!M15,Data!U15)))</f>
        <v>12.692</v>
      </c>
      <c r="I72" s="36">
        <f>IF($F72="","",IF($C$40=1,Data!F15,IF($C$40=2,Data!N15,Data!V15)))</f>
        <v>12.022500000000001</v>
      </c>
      <c r="J72" s="36">
        <f>IF($F72="","",IF($C$40=1,Data!G15,IF($C$40=2,Data!O15,Data!W15)))</f>
        <v>13.276999999999999</v>
      </c>
      <c r="K72" s="36">
        <f>IF($F72="","",IF($C$40=1,Data!H15,IF($C$40=2,Data!P15,Data!X15)))</f>
        <v>13.2285</v>
      </c>
      <c r="L72" s="36">
        <f>IF($F72="","",IF($C$40=1,Data!I15,IF($C$40=2,Data!Q15,Data!Y15)))</f>
        <v>13.32</v>
      </c>
      <c r="M72" s="36">
        <f>IF($F72="","",IF($C$40=1,Data!J15,IF($C$40=2,Data!R15,Data!Z15)))</f>
        <v>13.535</v>
      </c>
      <c r="N72" s="36">
        <f>IF($F72="","",IF($C$40=1,Data!K15,IF($C$40=2,Data!S15,Data!AA15)))</f>
        <v>12.640499999999999</v>
      </c>
      <c r="O72" s="170">
        <f t="shared" si="26"/>
        <v>2456908.8682002299</v>
      </c>
      <c r="P72" s="14">
        <f t="shared" si="41"/>
        <v>2014</v>
      </c>
      <c r="Q72" s="14">
        <f t="shared" si="42"/>
        <v>9</v>
      </c>
      <c r="R72" s="14">
        <f t="shared" si="43"/>
        <v>8</v>
      </c>
      <c r="S72" s="14">
        <f t="shared" si="44"/>
        <v>8</v>
      </c>
      <c r="T72" s="14">
        <f t="shared" si="45"/>
        <v>50</v>
      </c>
      <c r="U72" s="68">
        <f t="shared" si="46"/>
        <v>12</v>
      </c>
      <c r="V72" s="25">
        <f t="shared" si="27"/>
        <v>2456908.5</v>
      </c>
      <c r="W72" s="7">
        <f t="shared" si="28"/>
        <v>2451545</v>
      </c>
      <c r="X72" s="25">
        <f t="shared" si="29"/>
        <v>23.132017829833785</v>
      </c>
      <c r="Y72" s="25">
        <f t="shared" si="30"/>
        <v>18.059545155456618</v>
      </c>
      <c r="Z72" s="63">
        <f t="shared" si="31"/>
        <v>4.7279778656296374</v>
      </c>
      <c r="AA72" s="108">
        <f t="shared" si="32"/>
        <v>0.16533813506606077</v>
      </c>
      <c r="AB72" s="41">
        <f t="shared" si="33"/>
        <v>0.973963211573871</v>
      </c>
      <c r="AC72" s="25">
        <f t="shared" si="34"/>
        <v>1.026645296444574</v>
      </c>
      <c r="AD72" s="25">
        <f t="shared" si="35"/>
        <v>0.1695269252708469</v>
      </c>
      <c r="AE72" s="41">
        <f t="shared" si="36"/>
        <v>0.97282266955935759</v>
      </c>
      <c r="AF72" s="25">
        <f t="shared" si="37"/>
        <v>1.0278449471177604</v>
      </c>
      <c r="AG72" s="177">
        <f t="shared" si="38"/>
        <v>7.7674166666666666</v>
      </c>
      <c r="AH72" s="178">
        <f t="shared" si="39"/>
        <v>6.6609166666666662</v>
      </c>
    </row>
    <row r="73" spans="1:34" x14ac:dyDescent="0.2">
      <c r="A73" s="117">
        <f t="shared" si="47"/>
        <v>6</v>
      </c>
      <c r="B73" s="91">
        <f t="shared" si="23"/>
        <v>1.0269754480148128</v>
      </c>
      <c r="C73" s="126">
        <f t="shared" si="40"/>
        <v>7.6778704538825044</v>
      </c>
      <c r="D73" s="90">
        <f t="shared" si="24"/>
        <v>1.0281827476276626</v>
      </c>
      <c r="E73" s="174">
        <f t="shared" si="25"/>
        <v>6.6527448427746352</v>
      </c>
      <c r="F73" s="207">
        <f>IF(Data!C16="","",Data!C16)</f>
        <v>2456908.8687094902</v>
      </c>
      <c r="G73" s="36">
        <f>IF($F73="","",IF($C$40=1,Data!D16,IF($C$40=2,Data!L16,Data!T16)))</f>
        <v>13.826000000000001</v>
      </c>
      <c r="H73" s="36">
        <f>IF($F73="","",IF($C$40=1,Data!E16,IF($C$40=2,Data!M16,Data!U16)))</f>
        <v>12.679500000000001</v>
      </c>
      <c r="I73" s="36">
        <f>IF($F73="","",IF($C$40=1,Data!F16,IF($C$40=2,Data!N16,Data!V16)))</f>
        <v>12.029499999999999</v>
      </c>
      <c r="J73" s="36">
        <f>IF($F73="","",IF($C$40=1,Data!G16,IF($C$40=2,Data!O16,Data!W16)))</f>
        <v>13.282</v>
      </c>
      <c r="K73" s="36">
        <f>IF($F73="","",IF($C$40=1,Data!H16,IF($C$40=2,Data!P16,Data!X16)))</f>
        <v>13.236000000000001</v>
      </c>
      <c r="L73" s="36">
        <f>IF($F73="","",IF($C$40=1,Data!I16,IF($C$40=2,Data!Q16,Data!Y16)))</f>
        <v>13.302</v>
      </c>
      <c r="M73" s="36">
        <f>IF($F73="","",IF($C$40=1,Data!J16,IF($C$40=2,Data!R16,Data!Z16)))</f>
        <v>13.548500000000001</v>
      </c>
      <c r="N73" s="36">
        <f>IF($F73="","",IF($C$40=1,Data!K16,IF($C$40=2,Data!S16,Data!AA16)))</f>
        <v>12.649000000000001</v>
      </c>
      <c r="O73" s="170">
        <f t="shared" si="26"/>
        <v>2456908.8687094902</v>
      </c>
      <c r="P73" s="14">
        <f t="shared" si="41"/>
        <v>2014</v>
      </c>
      <c r="Q73" s="14">
        <f t="shared" si="42"/>
        <v>9</v>
      </c>
      <c r="R73" s="14">
        <f t="shared" si="43"/>
        <v>8</v>
      </c>
      <c r="S73" s="14">
        <f t="shared" si="44"/>
        <v>8</v>
      </c>
      <c r="T73" s="14">
        <f t="shared" si="45"/>
        <v>50</v>
      </c>
      <c r="U73" s="68">
        <f t="shared" si="46"/>
        <v>56</v>
      </c>
      <c r="V73" s="25">
        <f t="shared" si="27"/>
        <v>2456908.5</v>
      </c>
      <c r="W73" s="7">
        <f t="shared" si="28"/>
        <v>2451545</v>
      </c>
      <c r="X73" s="25">
        <f t="shared" si="29"/>
        <v>23.132017829833785</v>
      </c>
      <c r="Y73" s="25">
        <f t="shared" si="30"/>
        <v>18.071800841015339</v>
      </c>
      <c r="Z73" s="63">
        <f t="shared" si="31"/>
        <v>4.7311863966059695</v>
      </c>
      <c r="AA73" s="108">
        <f t="shared" si="32"/>
        <v>0.16854666604239288</v>
      </c>
      <c r="AB73" s="41">
        <f t="shared" si="33"/>
        <v>0.97364906158533771</v>
      </c>
      <c r="AC73" s="25">
        <f t="shared" si="34"/>
        <v>1.0269754480148128</v>
      </c>
      <c r="AD73" s="25">
        <f t="shared" si="35"/>
        <v>0.17273545624717901</v>
      </c>
      <c r="AE73" s="41">
        <f t="shared" si="36"/>
        <v>0.97250199277886185</v>
      </c>
      <c r="AF73" s="25">
        <f t="shared" si="37"/>
        <v>1.0281827476276626</v>
      </c>
      <c r="AG73" s="177">
        <f t="shared" si="38"/>
        <v>7.7910000000000004</v>
      </c>
      <c r="AH73" s="178">
        <f t="shared" si="39"/>
        <v>6.6445000000000016</v>
      </c>
    </row>
    <row r="74" spans="1:34" x14ac:dyDescent="0.2">
      <c r="A74" s="117">
        <f t="shared" si="47"/>
        <v>7</v>
      </c>
      <c r="B74" s="91">
        <f t="shared" si="23"/>
        <v>1.0273198293199908</v>
      </c>
      <c r="C74" s="126">
        <f t="shared" si="40"/>
        <v>7.6663704538825046</v>
      </c>
      <c r="D74" s="90">
        <f t="shared" si="24"/>
        <v>1.0285349465129277</v>
      </c>
      <c r="E74" s="174">
        <f t="shared" si="25"/>
        <v>6.6357448427746357</v>
      </c>
      <c r="F74" s="207">
        <f>IF(Data!C17="","",Data!C17)</f>
        <v>2456908.8692303202</v>
      </c>
      <c r="G74" s="36">
        <f>IF($F74="","",IF($C$40=1,Data!D17,IF($C$40=2,Data!L17,Data!T17)))</f>
        <v>13.814500000000001</v>
      </c>
      <c r="H74" s="36">
        <f>IF($F74="","",IF($C$40=1,Data!E17,IF($C$40=2,Data!M17,Data!U17)))</f>
        <v>12.662500000000001</v>
      </c>
      <c r="I74" s="36">
        <f>IF($F74="","",IF($C$40=1,Data!F17,IF($C$40=2,Data!N17,Data!V17)))</f>
        <v>12.039</v>
      </c>
      <c r="J74" s="36">
        <f>IF($F74="","",IF($C$40=1,Data!G17,IF($C$40=2,Data!O17,Data!W17)))</f>
        <v>13.271000000000001</v>
      </c>
      <c r="K74" s="36">
        <f>IF($F74="","",IF($C$40=1,Data!H17,IF($C$40=2,Data!P17,Data!X17)))</f>
        <v>13.218</v>
      </c>
      <c r="L74" s="36">
        <f>IF($F74="","",IF($C$40=1,Data!I17,IF($C$40=2,Data!Q17,Data!Y17)))</f>
        <v>13.309000000000001</v>
      </c>
      <c r="M74" s="36">
        <f>IF($F74="","",IF($C$40=1,Data!J17,IF($C$40=2,Data!R17,Data!Z17)))</f>
        <v>13.5535</v>
      </c>
      <c r="N74" s="36">
        <f>IF($F74="","",IF($C$40=1,Data!K17,IF($C$40=2,Data!S17,Data!AA17)))</f>
        <v>12.6585</v>
      </c>
      <c r="O74" s="170">
        <f t="shared" si="26"/>
        <v>2456908.8692303202</v>
      </c>
      <c r="P74" s="14">
        <f t="shared" si="41"/>
        <v>2014</v>
      </c>
      <c r="Q74" s="14">
        <f t="shared" si="42"/>
        <v>9</v>
      </c>
      <c r="R74" s="14">
        <f t="shared" si="43"/>
        <v>8</v>
      </c>
      <c r="S74" s="14">
        <f t="shared" si="44"/>
        <v>8</v>
      </c>
      <c r="T74" s="14">
        <f t="shared" si="45"/>
        <v>51</v>
      </c>
      <c r="U74" s="68">
        <f t="shared" si="46"/>
        <v>41</v>
      </c>
      <c r="V74" s="25">
        <f t="shared" si="27"/>
        <v>2456908.5</v>
      </c>
      <c r="W74" s="7">
        <f t="shared" si="28"/>
        <v>2451545</v>
      </c>
      <c r="X74" s="25">
        <f t="shared" si="29"/>
        <v>23.132017829833785</v>
      </c>
      <c r="Y74" s="25">
        <f t="shared" si="30"/>
        <v>18.084335064882211</v>
      </c>
      <c r="Z74" s="63">
        <f t="shared" si="31"/>
        <v>4.734467848740854</v>
      </c>
      <c r="AA74" s="108">
        <f t="shared" si="32"/>
        <v>0.17182811817727739</v>
      </c>
      <c r="AB74" s="41">
        <f t="shared" si="33"/>
        <v>0.97332158649504907</v>
      </c>
      <c r="AC74" s="25">
        <f t="shared" si="34"/>
        <v>1.0273198293199908</v>
      </c>
      <c r="AD74" s="25">
        <f t="shared" si="35"/>
        <v>0.17601690838206352</v>
      </c>
      <c r="AE74" s="41">
        <f t="shared" si="36"/>
        <v>0.97216787158720819</v>
      </c>
      <c r="AF74" s="25">
        <f t="shared" si="37"/>
        <v>1.0285349465129277</v>
      </c>
      <c r="AG74" s="177">
        <f t="shared" si="38"/>
        <v>7.7791666666666659</v>
      </c>
      <c r="AH74" s="178">
        <f t="shared" si="39"/>
        <v>6.6271666666666684</v>
      </c>
    </row>
    <row r="75" spans="1:34" x14ac:dyDescent="0.2">
      <c r="A75" s="117">
        <f t="shared" si="47"/>
        <v>8</v>
      </c>
      <c r="B75" s="91">
        <f t="shared" si="23"/>
        <v>1.0276631438019899</v>
      </c>
      <c r="C75" s="126">
        <f t="shared" si="40"/>
        <v>7.6718704538825042</v>
      </c>
      <c r="D75" s="90">
        <f t="shared" si="24"/>
        <v>1.028885899942378</v>
      </c>
      <c r="E75" s="174">
        <f t="shared" si="25"/>
        <v>6.6617448427746355</v>
      </c>
      <c r="F75" s="207">
        <f>IF(Data!C18="","",Data!C18)</f>
        <v>2456908.86973958</v>
      </c>
      <c r="G75" s="36">
        <f>IF($F75="","",IF($C$40=1,Data!D18,IF($C$40=2,Data!L18,Data!T18)))</f>
        <v>13.82</v>
      </c>
      <c r="H75" s="36">
        <f>IF($F75="","",IF($C$40=1,Data!E18,IF($C$40=2,Data!M18,Data!U18)))</f>
        <v>12.688500000000001</v>
      </c>
      <c r="I75" s="36">
        <f>IF($F75="","",IF($C$40=1,Data!F18,IF($C$40=2,Data!N18,Data!V18)))</f>
        <v>12.047499999999999</v>
      </c>
      <c r="J75" s="36">
        <f>IF($F75="","",IF($C$40=1,Data!G18,IF($C$40=2,Data!O18,Data!W18)))</f>
        <v>13.2745</v>
      </c>
      <c r="K75" s="36">
        <f>IF($F75="","",IF($C$40=1,Data!H18,IF($C$40=2,Data!P18,Data!X18)))</f>
        <v>13.236000000000001</v>
      </c>
      <c r="L75" s="36">
        <f>IF($F75="","",IF($C$40=1,Data!I18,IF($C$40=2,Data!Q18,Data!Y18)))</f>
        <v>13.308</v>
      </c>
      <c r="M75" s="36">
        <f>IF($F75="","",IF($C$40=1,Data!J18,IF($C$40=2,Data!R18,Data!Z18)))</f>
        <v>13.564</v>
      </c>
      <c r="N75" s="36">
        <f>IF($F75="","",IF($C$40=1,Data!K18,IF($C$40=2,Data!S18,Data!AA18)))</f>
        <v>12.655999999999999</v>
      </c>
      <c r="O75" s="170">
        <f t="shared" si="26"/>
        <v>2456908.86973958</v>
      </c>
      <c r="P75" s="14">
        <f t="shared" si="41"/>
        <v>2014</v>
      </c>
      <c r="Q75" s="14">
        <f t="shared" si="42"/>
        <v>9</v>
      </c>
      <c r="R75" s="14">
        <f t="shared" si="43"/>
        <v>8</v>
      </c>
      <c r="S75" s="14">
        <f t="shared" si="44"/>
        <v>8</v>
      </c>
      <c r="T75" s="14">
        <f t="shared" si="45"/>
        <v>52</v>
      </c>
      <c r="U75" s="68">
        <f t="shared" si="46"/>
        <v>25</v>
      </c>
      <c r="V75" s="25">
        <f t="shared" si="27"/>
        <v>2456908.5</v>
      </c>
      <c r="W75" s="7">
        <f t="shared" si="28"/>
        <v>2451545</v>
      </c>
      <c r="X75" s="25">
        <f t="shared" si="29"/>
        <v>23.132017829833785</v>
      </c>
      <c r="Y75" s="25">
        <f t="shared" si="30"/>
        <v>18.096590750440939</v>
      </c>
      <c r="Z75" s="63">
        <f t="shared" si="31"/>
        <v>4.7376763797171879</v>
      </c>
      <c r="AA75" s="108">
        <f t="shared" si="32"/>
        <v>0.17503664915361128</v>
      </c>
      <c r="AB75" s="41">
        <f t="shared" si="33"/>
        <v>0.97299534411050526</v>
      </c>
      <c r="AC75" s="25">
        <f t="shared" si="34"/>
        <v>1.0276631438019899</v>
      </c>
      <c r="AD75" s="25">
        <f t="shared" si="35"/>
        <v>0.17922543935839741</v>
      </c>
      <c r="AE75" s="41">
        <f t="shared" si="36"/>
        <v>0.97183515924235131</v>
      </c>
      <c r="AF75" s="25">
        <f t="shared" si="37"/>
        <v>1.028885899942378</v>
      </c>
      <c r="AG75" s="177">
        <f t="shared" si="38"/>
        <v>7.7785000000000011</v>
      </c>
      <c r="AH75" s="178">
        <f t="shared" si="39"/>
        <v>6.647000000000002</v>
      </c>
    </row>
    <row r="76" spans="1:34" x14ac:dyDescent="0.2">
      <c r="A76" s="117">
        <f t="shared" si="47"/>
        <v>9</v>
      </c>
      <c r="B76" s="91">
        <f t="shared" si="23"/>
        <v>1.0280129797351576</v>
      </c>
      <c r="C76" s="126">
        <f t="shared" si="40"/>
        <v>7.6583704538825037</v>
      </c>
      <c r="D76" s="90">
        <f t="shared" si="24"/>
        <v>1.029243370141903</v>
      </c>
      <c r="E76" s="174">
        <f t="shared" si="25"/>
        <v>6.6522448427746328</v>
      </c>
      <c r="F76" s="207">
        <f>IF(Data!C19="","",Data!C19)</f>
        <v>2456908.8702488402</v>
      </c>
      <c r="G76" s="36">
        <f>IF($F76="","",IF($C$40=1,Data!D19,IF($C$40=2,Data!L19,Data!T19)))</f>
        <v>13.8065</v>
      </c>
      <c r="H76" s="36">
        <f>IF($F76="","",IF($C$40=1,Data!E19,IF($C$40=2,Data!M19,Data!U19)))</f>
        <v>12.678999999999998</v>
      </c>
      <c r="I76" s="36">
        <f>IF($F76="","",IF($C$40=1,Data!F19,IF($C$40=2,Data!N19,Data!V19)))</f>
        <v>12.034500000000001</v>
      </c>
      <c r="J76" s="36">
        <f>IF($F76="","",IF($C$40=1,Data!G19,IF($C$40=2,Data!O19,Data!W19)))</f>
        <v>13.281500000000001</v>
      </c>
      <c r="K76" s="36">
        <f>IF($F76="","",IF($C$40=1,Data!H19,IF($C$40=2,Data!P19,Data!X19)))</f>
        <v>13.234</v>
      </c>
      <c r="L76" s="36">
        <f>IF($F76="","",IF($C$40=1,Data!I19,IF($C$40=2,Data!Q19,Data!Y19)))</f>
        <v>13.3085</v>
      </c>
      <c r="M76" s="36">
        <f>IF($F76="","",IF($C$40=1,Data!J19,IF($C$40=2,Data!R19,Data!Z19)))</f>
        <v>13.534500000000001</v>
      </c>
      <c r="N76" s="36">
        <f>IF($F76="","",IF($C$40=1,Data!K19,IF($C$40=2,Data!S19,Data!AA19)))</f>
        <v>12.645</v>
      </c>
      <c r="O76" s="170">
        <f t="shared" si="26"/>
        <v>2456908.8702488402</v>
      </c>
      <c r="P76" s="14">
        <f t="shared" si="41"/>
        <v>2014</v>
      </c>
      <c r="Q76" s="14">
        <f t="shared" si="42"/>
        <v>9</v>
      </c>
      <c r="R76" s="14">
        <f t="shared" si="43"/>
        <v>8</v>
      </c>
      <c r="S76" s="14">
        <f t="shared" si="44"/>
        <v>8</v>
      </c>
      <c r="T76" s="14">
        <f t="shared" si="45"/>
        <v>53</v>
      </c>
      <c r="U76" s="68">
        <f t="shared" si="46"/>
        <v>9</v>
      </c>
      <c r="V76" s="25">
        <f t="shared" si="27"/>
        <v>2456908.5</v>
      </c>
      <c r="W76" s="7">
        <f t="shared" si="28"/>
        <v>2451545</v>
      </c>
      <c r="X76" s="25">
        <f t="shared" si="29"/>
        <v>23.132017829833785</v>
      </c>
      <c r="Y76" s="25">
        <f t="shared" si="30"/>
        <v>18.108846435999652</v>
      </c>
      <c r="Z76" s="63">
        <f t="shared" si="31"/>
        <v>4.7408849106935174</v>
      </c>
      <c r="AA76" s="108">
        <f t="shared" si="32"/>
        <v>0.17824518012994073</v>
      </c>
      <c r="AB76" s="41">
        <f t="shared" si="33"/>
        <v>0.97266312850706282</v>
      </c>
      <c r="AC76" s="25">
        <f t="shared" si="34"/>
        <v>1.0280129797351576</v>
      </c>
      <c r="AD76" s="25">
        <f t="shared" si="35"/>
        <v>0.18243397033472686</v>
      </c>
      <c r="AE76" s="41">
        <f t="shared" si="36"/>
        <v>0.97149650187595671</v>
      </c>
      <c r="AF76" s="25">
        <f t="shared" si="37"/>
        <v>1.029243370141903</v>
      </c>
      <c r="AG76" s="177">
        <f t="shared" si="38"/>
        <v>7.7729999999999997</v>
      </c>
      <c r="AH76" s="178">
        <f t="shared" si="39"/>
        <v>6.6454999999999975</v>
      </c>
    </row>
    <row r="77" spans="1:34" x14ac:dyDescent="0.2">
      <c r="A77" s="117">
        <f t="shared" si="47"/>
        <v>10</v>
      </c>
      <c r="B77" s="91">
        <f t="shared" si="23"/>
        <v>1.0283693465899517</v>
      </c>
      <c r="C77" s="126">
        <f t="shared" si="40"/>
        <v>7.6603704538825044</v>
      </c>
      <c r="D77" s="90">
        <f t="shared" si="24"/>
        <v>1.0296073667524686</v>
      </c>
      <c r="E77" s="174">
        <f t="shared" si="25"/>
        <v>6.6487448427746338</v>
      </c>
      <c r="F77" s="207">
        <f>IF(Data!C20="","",Data!C20)</f>
        <v>2456908.8707580999</v>
      </c>
      <c r="G77" s="36">
        <f>IF($F77="","",IF($C$40=1,Data!D20,IF($C$40=2,Data!L20,Data!T20)))</f>
        <v>13.8085</v>
      </c>
      <c r="H77" s="36">
        <f>IF($F77="","",IF($C$40=1,Data!E20,IF($C$40=2,Data!M20,Data!U20)))</f>
        <v>12.6755</v>
      </c>
      <c r="I77" s="36">
        <f>IF($F77="","",IF($C$40=1,Data!F20,IF($C$40=2,Data!N20,Data!V20)))</f>
        <v>12.047000000000001</v>
      </c>
      <c r="J77" s="36">
        <f>IF($F77="","",IF($C$40=1,Data!G20,IF($C$40=2,Data!O20,Data!W20)))</f>
        <v>13.2865</v>
      </c>
      <c r="K77" s="36">
        <f>IF($F77="","",IF($C$40=1,Data!H20,IF($C$40=2,Data!P20,Data!X20)))</f>
        <v>13.230499999999999</v>
      </c>
      <c r="L77" s="36">
        <f>IF($F77="","",IF($C$40=1,Data!I20,IF($C$40=2,Data!Q20,Data!Y20)))</f>
        <v>13.3245</v>
      </c>
      <c r="M77" s="36">
        <f>IF($F77="","",IF($C$40=1,Data!J20,IF($C$40=2,Data!R20,Data!Z20)))</f>
        <v>13.544</v>
      </c>
      <c r="N77" s="36">
        <f>IF($F77="","",IF($C$40=1,Data!K20,IF($C$40=2,Data!S20,Data!AA20)))</f>
        <v>12.6435</v>
      </c>
      <c r="O77" s="170">
        <f t="shared" si="26"/>
        <v>2456908.8707580999</v>
      </c>
      <c r="P77" s="14">
        <f t="shared" si="41"/>
        <v>2014</v>
      </c>
      <c r="Q77" s="14">
        <f t="shared" si="42"/>
        <v>9</v>
      </c>
      <c r="R77" s="14">
        <f t="shared" si="43"/>
        <v>8</v>
      </c>
      <c r="S77" s="14">
        <f t="shared" si="44"/>
        <v>8</v>
      </c>
      <c r="T77" s="14">
        <f t="shared" si="45"/>
        <v>53</v>
      </c>
      <c r="U77" s="68">
        <f t="shared" si="46"/>
        <v>53</v>
      </c>
      <c r="V77" s="25">
        <f t="shared" si="27"/>
        <v>2456908.5</v>
      </c>
      <c r="W77" s="7">
        <f t="shared" si="28"/>
        <v>2451545</v>
      </c>
      <c r="X77" s="25">
        <f t="shared" si="29"/>
        <v>23.132017829833785</v>
      </c>
      <c r="Y77" s="25">
        <f t="shared" si="30"/>
        <v>18.12110212155838</v>
      </c>
      <c r="Z77" s="63">
        <f t="shared" si="31"/>
        <v>4.7440934416698513</v>
      </c>
      <c r="AA77" s="108">
        <f t="shared" si="32"/>
        <v>0.18145371110627462</v>
      </c>
      <c r="AB77" s="41">
        <f t="shared" si="33"/>
        <v>0.97232494310476802</v>
      </c>
      <c r="AC77" s="25">
        <f t="shared" si="34"/>
        <v>1.0283693465899517</v>
      </c>
      <c r="AD77" s="25">
        <f t="shared" si="35"/>
        <v>0.18564250131106075</v>
      </c>
      <c r="AE77" s="41">
        <f t="shared" si="36"/>
        <v>0.97115190297438647</v>
      </c>
      <c r="AF77" s="25">
        <f t="shared" si="37"/>
        <v>1.0296073667524686</v>
      </c>
      <c r="AG77" s="177">
        <f t="shared" si="38"/>
        <v>7.7686666666666655</v>
      </c>
      <c r="AH77" s="178">
        <f t="shared" si="39"/>
        <v>6.6356666666666664</v>
      </c>
    </row>
    <row r="78" spans="1:34" x14ac:dyDescent="0.2">
      <c r="A78" s="117">
        <f t="shared" si="47"/>
        <v>11</v>
      </c>
      <c r="B78" s="91" t="str">
        <f t="shared" si="23"/>
        <v/>
      </c>
      <c r="C78" s="126" t="str">
        <f t="shared" si="40"/>
        <v/>
      </c>
      <c r="D78" s="90" t="str">
        <f t="shared" si="24"/>
        <v/>
      </c>
      <c r="E78" s="174" t="str">
        <f t="shared" si="25"/>
        <v/>
      </c>
      <c r="F78" s="207" t="str">
        <f>IF(Data!C21="","",Data!C21)</f>
        <v/>
      </c>
      <c r="G78" s="36" t="str">
        <f>IF($F78="","",IF($C$40=1,Data!D21,IF($C$40=2,Data!L21,Data!T21)))</f>
        <v/>
      </c>
      <c r="H78" s="36" t="str">
        <f>IF($F78="","",IF($C$40=1,Data!E21,IF($C$40=2,Data!M21,Data!U21)))</f>
        <v/>
      </c>
      <c r="I78" s="36" t="str">
        <f>IF($F78="","",IF($C$40=1,Data!F21,IF($C$40=2,Data!N21,Data!V21)))</f>
        <v/>
      </c>
      <c r="J78" s="36" t="str">
        <f>IF($F78="","",IF($C$40=1,Data!G21,IF($C$40=2,Data!O21,Data!W21)))</f>
        <v/>
      </c>
      <c r="K78" s="36" t="str">
        <f>IF($F78="","",IF($C$40=1,Data!H21,IF($C$40=2,Data!P21,Data!X21)))</f>
        <v/>
      </c>
      <c r="L78" s="36" t="str">
        <f>IF($F78="","",IF($C$40=1,Data!I21,IF($C$40=2,Data!Q21,Data!Y21)))</f>
        <v/>
      </c>
      <c r="M78" s="36" t="str">
        <f>IF($F78="","",IF($C$40=1,Data!J21,IF($C$40=2,Data!R21,Data!Z21)))</f>
        <v/>
      </c>
      <c r="N78" s="36" t="str">
        <f>IF($F78="","",IF($C$40=1,Data!K21,IF($C$40=2,Data!S21,Data!AA21)))</f>
        <v/>
      </c>
      <c r="O78" s="170" t="str">
        <f t="shared" si="26"/>
        <v/>
      </c>
      <c r="P78" s="14" t="str">
        <f t="shared" si="41"/>
        <v/>
      </c>
      <c r="Q78" s="14" t="str">
        <f t="shared" si="42"/>
        <v/>
      </c>
      <c r="R78" s="14" t="str">
        <f t="shared" si="43"/>
        <v/>
      </c>
      <c r="S78" s="14" t="str">
        <f t="shared" si="44"/>
        <v/>
      </c>
      <c r="T78" s="14" t="str">
        <f t="shared" si="45"/>
        <v/>
      </c>
      <c r="U78" s="68" t="str">
        <f t="shared" si="46"/>
        <v/>
      </c>
      <c r="V78" s="25" t="str">
        <f t="shared" si="27"/>
        <v/>
      </c>
      <c r="W78" s="7" t="str">
        <f t="shared" si="28"/>
        <v/>
      </c>
      <c r="X78" s="25" t="str">
        <f t="shared" si="29"/>
        <v/>
      </c>
      <c r="Y78" s="25" t="str">
        <f t="shared" si="30"/>
        <v/>
      </c>
      <c r="Z78" s="63" t="str">
        <f t="shared" si="31"/>
        <v/>
      </c>
      <c r="AA78" s="108" t="str">
        <f t="shared" si="32"/>
        <v/>
      </c>
      <c r="AB78" s="41" t="str">
        <f t="shared" si="33"/>
        <v/>
      </c>
      <c r="AC78" s="25" t="str">
        <f t="shared" si="34"/>
        <v/>
      </c>
      <c r="AD78" s="25" t="str">
        <f t="shared" si="35"/>
        <v/>
      </c>
      <c r="AE78" s="41" t="str">
        <f t="shared" si="36"/>
        <v/>
      </c>
      <c r="AF78" s="25" t="str">
        <f t="shared" si="37"/>
        <v/>
      </c>
      <c r="AG78" s="177" t="str">
        <f t="shared" si="38"/>
        <v/>
      </c>
      <c r="AH78" s="178" t="str">
        <f t="shared" si="39"/>
        <v/>
      </c>
    </row>
    <row r="79" spans="1:34" x14ac:dyDescent="0.2">
      <c r="A79" s="117">
        <f t="shared" si="47"/>
        <v>12</v>
      </c>
      <c r="B79" s="91" t="str">
        <f t="shared" si="23"/>
        <v/>
      </c>
      <c r="C79" s="126" t="str">
        <f t="shared" si="40"/>
        <v/>
      </c>
      <c r="D79" s="90" t="str">
        <f t="shared" si="24"/>
        <v/>
      </c>
      <c r="E79" s="174" t="str">
        <f t="shared" si="25"/>
        <v/>
      </c>
      <c r="F79" s="207" t="str">
        <f>IF(Data!C22="","",Data!C22)</f>
        <v/>
      </c>
      <c r="G79" s="36" t="str">
        <f>IF($F79="","",IF($C$40=1,Data!D22,IF($C$40=2,Data!L22,Data!T22)))</f>
        <v/>
      </c>
      <c r="H79" s="36" t="str">
        <f>IF($F79="","",IF($C$40=1,Data!E22,IF($C$40=2,Data!M22,Data!U22)))</f>
        <v/>
      </c>
      <c r="I79" s="36" t="str">
        <f>IF($F79="","",IF($C$40=1,Data!F22,IF($C$40=2,Data!N22,Data!V22)))</f>
        <v/>
      </c>
      <c r="J79" s="36" t="str">
        <f>IF($F79="","",IF($C$40=1,Data!G22,IF($C$40=2,Data!O22,Data!W22)))</f>
        <v/>
      </c>
      <c r="K79" s="36" t="str">
        <f>IF($F79="","",IF($C$40=1,Data!H22,IF($C$40=2,Data!P22,Data!X22)))</f>
        <v/>
      </c>
      <c r="L79" s="36" t="str">
        <f>IF($F79="","",IF($C$40=1,Data!I22,IF($C$40=2,Data!Q22,Data!Y22)))</f>
        <v/>
      </c>
      <c r="M79" s="36" t="str">
        <f>IF($F79="","",IF($C$40=1,Data!J22,IF($C$40=2,Data!R22,Data!Z22)))</f>
        <v/>
      </c>
      <c r="N79" s="36" t="str">
        <f>IF($F79="","",IF($C$40=1,Data!K22,IF($C$40=2,Data!S22,Data!AA22)))</f>
        <v/>
      </c>
      <c r="O79" s="170" t="str">
        <f t="shared" si="26"/>
        <v/>
      </c>
      <c r="P79" s="14" t="str">
        <f t="shared" si="41"/>
        <v/>
      </c>
      <c r="Q79" s="14" t="str">
        <f t="shared" si="42"/>
        <v/>
      </c>
      <c r="R79" s="14" t="str">
        <f t="shared" si="43"/>
        <v/>
      </c>
      <c r="S79" s="14" t="str">
        <f t="shared" si="44"/>
        <v/>
      </c>
      <c r="T79" s="14" t="str">
        <f t="shared" si="45"/>
        <v/>
      </c>
      <c r="U79" s="68" t="str">
        <f t="shared" si="46"/>
        <v/>
      </c>
      <c r="V79" s="25" t="str">
        <f t="shared" si="27"/>
        <v/>
      </c>
      <c r="W79" s="7" t="str">
        <f t="shared" si="28"/>
        <v/>
      </c>
      <c r="X79" s="25" t="str">
        <f t="shared" si="29"/>
        <v/>
      </c>
      <c r="Y79" s="25" t="str">
        <f t="shared" si="30"/>
        <v/>
      </c>
      <c r="Z79" s="63" t="str">
        <f t="shared" si="31"/>
        <v/>
      </c>
      <c r="AA79" s="108" t="str">
        <f t="shared" si="32"/>
        <v/>
      </c>
      <c r="AB79" s="41" t="str">
        <f t="shared" si="33"/>
        <v/>
      </c>
      <c r="AC79" s="25" t="str">
        <f t="shared" si="34"/>
        <v/>
      </c>
      <c r="AD79" s="25" t="str">
        <f t="shared" si="35"/>
        <v/>
      </c>
      <c r="AE79" s="41" t="str">
        <f t="shared" si="36"/>
        <v/>
      </c>
      <c r="AF79" s="25" t="str">
        <f t="shared" si="37"/>
        <v/>
      </c>
      <c r="AG79" s="177" t="str">
        <f t="shared" si="38"/>
        <v/>
      </c>
      <c r="AH79" s="178" t="str">
        <f t="shared" si="39"/>
        <v/>
      </c>
    </row>
    <row r="80" spans="1:34" x14ac:dyDescent="0.2">
      <c r="A80" s="117">
        <f t="shared" si="47"/>
        <v>13</v>
      </c>
      <c r="B80" s="91" t="str">
        <f t="shared" si="23"/>
        <v/>
      </c>
      <c r="C80" s="126" t="str">
        <f t="shared" si="40"/>
        <v/>
      </c>
      <c r="D80" s="90" t="str">
        <f t="shared" si="24"/>
        <v/>
      </c>
      <c r="E80" s="174" t="str">
        <f t="shared" si="25"/>
        <v/>
      </c>
      <c r="F80" s="207" t="str">
        <f>IF(Data!C23="","",Data!C23)</f>
        <v/>
      </c>
      <c r="G80" s="36" t="str">
        <f>IF($F80="","",IF($C$40=1,Data!D23,IF($C$40=2,Data!L23,Data!T23)))</f>
        <v/>
      </c>
      <c r="H80" s="36" t="str">
        <f>IF($F80="","",IF($C$40=1,Data!E23,IF($C$40=2,Data!M23,Data!U23)))</f>
        <v/>
      </c>
      <c r="I80" s="36" t="str">
        <f>IF($F80="","",IF($C$40=1,Data!F23,IF($C$40=2,Data!N23,Data!V23)))</f>
        <v/>
      </c>
      <c r="J80" s="36" t="str">
        <f>IF($F80="","",IF($C$40=1,Data!G23,IF($C$40=2,Data!O23,Data!W23)))</f>
        <v/>
      </c>
      <c r="K80" s="36" t="str">
        <f>IF($F80="","",IF($C$40=1,Data!H23,IF($C$40=2,Data!P23,Data!X23)))</f>
        <v/>
      </c>
      <c r="L80" s="36" t="str">
        <f>IF($F80="","",IF($C$40=1,Data!I23,IF($C$40=2,Data!Q23,Data!Y23)))</f>
        <v/>
      </c>
      <c r="M80" s="36" t="str">
        <f>IF($F80="","",IF($C$40=1,Data!J23,IF($C$40=2,Data!R23,Data!Z23)))</f>
        <v/>
      </c>
      <c r="N80" s="36" t="str">
        <f>IF($F80="","",IF($C$40=1,Data!K23,IF($C$40=2,Data!S23,Data!AA23)))</f>
        <v/>
      </c>
      <c r="O80" s="170" t="str">
        <f t="shared" si="26"/>
        <v/>
      </c>
      <c r="P80" s="14" t="str">
        <f t="shared" si="41"/>
        <v/>
      </c>
      <c r="Q80" s="14" t="str">
        <f t="shared" si="42"/>
        <v/>
      </c>
      <c r="R80" s="14" t="str">
        <f t="shared" si="43"/>
        <v/>
      </c>
      <c r="S80" s="14" t="str">
        <f t="shared" si="44"/>
        <v/>
      </c>
      <c r="T80" s="14" t="str">
        <f t="shared" si="45"/>
        <v/>
      </c>
      <c r="U80" s="68" t="str">
        <f t="shared" si="46"/>
        <v/>
      </c>
      <c r="V80" s="25" t="str">
        <f t="shared" si="27"/>
        <v/>
      </c>
      <c r="W80" s="7" t="str">
        <f t="shared" si="28"/>
        <v/>
      </c>
      <c r="X80" s="25" t="str">
        <f t="shared" si="29"/>
        <v/>
      </c>
      <c r="Y80" s="25" t="str">
        <f t="shared" si="30"/>
        <v/>
      </c>
      <c r="Z80" s="63" t="str">
        <f t="shared" si="31"/>
        <v/>
      </c>
      <c r="AA80" s="108" t="str">
        <f t="shared" si="32"/>
        <v/>
      </c>
      <c r="AB80" s="41" t="str">
        <f t="shared" si="33"/>
        <v/>
      </c>
      <c r="AC80" s="25" t="str">
        <f t="shared" si="34"/>
        <v/>
      </c>
      <c r="AD80" s="25" t="str">
        <f t="shared" si="35"/>
        <v/>
      </c>
      <c r="AE80" s="41" t="str">
        <f t="shared" si="36"/>
        <v/>
      </c>
      <c r="AF80" s="25" t="str">
        <f t="shared" si="37"/>
        <v/>
      </c>
      <c r="AG80" s="177" t="str">
        <f t="shared" si="38"/>
        <v/>
      </c>
      <c r="AH80" s="178" t="str">
        <f t="shared" si="39"/>
        <v/>
      </c>
    </row>
    <row r="81" spans="1:34" x14ac:dyDescent="0.2">
      <c r="A81" s="117">
        <f t="shared" si="47"/>
        <v>14</v>
      </c>
      <c r="B81" s="91" t="str">
        <f t="shared" si="23"/>
        <v/>
      </c>
      <c r="C81" s="126" t="str">
        <f t="shared" si="40"/>
        <v/>
      </c>
      <c r="D81" s="90" t="str">
        <f t="shared" si="24"/>
        <v/>
      </c>
      <c r="E81" s="174" t="str">
        <f t="shared" si="25"/>
        <v/>
      </c>
      <c r="F81" s="207" t="str">
        <f>IF(Data!C24="","",Data!C24)</f>
        <v/>
      </c>
      <c r="G81" s="36" t="str">
        <f>IF($F81="","",IF($C$40=1,Data!D24,IF($C$40=2,Data!L24,Data!T24)))</f>
        <v/>
      </c>
      <c r="H81" s="36" t="str">
        <f>IF($F81="","",IF($C$40=1,Data!E24,IF($C$40=2,Data!M24,Data!U24)))</f>
        <v/>
      </c>
      <c r="I81" s="36" t="str">
        <f>IF($F81="","",IF($C$40=1,Data!F24,IF($C$40=2,Data!N24,Data!V24)))</f>
        <v/>
      </c>
      <c r="J81" s="36" t="str">
        <f>IF($F81="","",IF($C$40=1,Data!G24,IF($C$40=2,Data!O24,Data!W24)))</f>
        <v/>
      </c>
      <c r="K81" s="36" t="str">
        <f>IF($F81="","",IF($C$40=1,Data!H24,IF($C$40=2,Data!P24,Data!X24)))</f>
        <v/>
      </c>
      <c r="L81" s="36" t="str">
        <f>IF($F81="","",IF($C$40=1,Data!I24,IF($C$40=2,Data!Q24,Data!Y24)))</f>
        <v/>
      </c>
      <c r="M81" s="36" t="str">
        <f>IF($F81="","",IF($C$40=1,Data!J24,IF($C$40=2,Data!R24,Data!Z24)))</f>
        <v/>
      </c>
      <c r="N81" s="36" t="str">
        <f>IF($F81="","",IF($C$40=1,Data!K24,IF($C$40=2,Data!S24,Data!AA24)))</f>
        <v/>
      </c>
      <c r="O81" s="170" t="str">
        <f t="shared" si="26"/>
        <v/>
      </c>
      <c r="P81" s="14" t="str">
        <f t="shared" si="41"/>
        <v/>
      </c>
      <c r="Q81" s="14" t="str">
        <f t="shared" si="42"/>
        <v/>
      </c>
      <c r="R81" s="14" t="str">
        <f t="shared" si="43"/>
        <v/>
      </c>
      <c r="S81" s="14" t="str">
        <f t="shared" si="44"/>
        <v/>
      </c>
      <c r="T81" s="14" t="str">
        <f t="shared" si="45"/>
        <v/>
      </c>
      <c r="U81" s="68" t="str">
        <f t="shared" si="46"/>
        <v/>
      </c>
      <c r="V81" s="25" t="str">
        <f t="shared" si="27"/>
        <v/>
      </c>
      <c r="W81" s="7" t="str">
        <f t="shared" si="28"/>
        <v/>
      </c>
      <c r="X81" s="25" t="str">
        <f t="shared" si="29"/>
        <v/>
      </c>
      <c r="Y81" s="25" t="str">
        <f t="shared" si="30"/>
        <v/>
      </c>
      <c r="Z81" s="63" t="str">
        <f t="shared" si="31"/>
        <v/>
      </c>
      <c r="AA81" s="108" t="str">
        <f t="shared" si="32"/>
        <v/>
      </c>
      <c r="AB81" s="41" t="str">
        <f t="shared" si="33"/>
        <v/>
      </c>
      <c r="AC81" s="25" t="str">
        <f t="shared" si="34"/>
        <v/>
      </c>
      <c r="AD81" s="25" t="str">
        <f t="shared" si="35"/>
        <v/>
      </c>
      <c r="AE81" s="41" t="str">
        <f t="shared" si="36"/>
        <v/>
      </c>
      <c r="AF81" s="25" t="str">
        <f t="shared" si="37"/>
        <v/>
      </c>
      <c r="AG81" s="177" t="str">
        <f t="shared" si="38"/>
        <v/>
      </c>
      <c r="AH81" s="178" t="str">
        <f t="shared" si="39"/>
        <v/>
      </c>
    </row>
    <row r="82" spans="1:34" x14ac:dyDescent="0.2">
      <c r="A82" s="117">
        <f t="shared" si="47"/>
        <v>15</v>
      </c>
      <c r="B82" s="91" t="str">
        <f t="shared" si="23"/>
        <v/>
      </c>
      <c r="C82" s="126" t="str">
        <f t="shared" si="40"/>
        <v/>
      </c>
      <c r="D82" s="90" t="str">
        <f t="shared" si="24"/>
        <v/>
      </c>
      <c r="E82" s="174" t="str">
        <f t="shared" si="25"/>
        <v/>
      </c>
      <c r="F82" s="207" t="str">
        <f>IF(Data!C25="","",Data!C25)</f>
        <v/>
      </c>
      <c r="G82" s="36" t="str">
        <f>IF($F82="","",IF($C$40=1,Data!D25,IF($C$40=2,Data!L25,Data!T25)))</f>
        <v/>
      </c>
      <c r="H82" s="36" t="str">
        <f>IF($F82="","",IF($C$40=1,Data!E25,IF($C$40=2,Data!M25,Data!U25)))</f>
        <v/>
      </c>
      <c r="I82" s="36" t="str">
        <f>IF($F82="","",IF($C$40=1,Data!F25,IF($C$40=2,Data!N25,Data!V25)))</f>
        <v/>
      </c>
      <c r="J82" s="36" t="str">
        <f>IF($F82="","",IF($C$40=1,Data!G25,IF($C$40=2,Data!O25,Data!W25)))</f>
        <v/>
      </c>
      <c r="K82" s="36" t="str">
        <f>IF($F82="","",IF($C$40=1,Data!H25,IF($C$40=2,Data!P25,Data!X25)))</f>
        <v/>
      </c>
      <c r="L82" s="36" t="str">
        <f>IF($F82="","",IF($C$40=1,Data!I25,IF($C$40=2,Data!Q25,Data!Y25)))</f>
        <v/>
      </c>
      <c r="M82" s="36" t="str">
        <f>IF($F82="","",IF($C$40=1,Data!J25,IF($C$40=2,Data!R25,Data!Z25)))</f>
        <v/>
      </c>
      <c r="N82" s="36" t="str">
        <f>IF($F82="","",IF($C$40=1,Data!K25,IF($C$40=2,Data!S25,Data!AA25)))</f>
        <v/>
      </c>
      <c r="O82" s="170" t="str">
        <f t="shared" si="26"/>
        <v/>
      </c>
      <c r="P82" s="14" t="str">
        <f t="shared" si="41"/>
        <v/>
      </c>
      <c r="Q82" s="14" t="str">
        <f t="shared" si="42"/>
        <v/>
      </c>
      <c r="R82" s="14" t="str">
        <f t="shared" si="43"/>
        <v/>
      </c>
      <c r="S82" s="14" t="str">
        <f t="shared" si="44"/>
        <v/>
      </c>
      <c r="T82" s="14" t="str">
        <f t="shared" si="45"/>
        <v/>
      </c>
      <c r="U82" s="68" t="str">
        <f t="shared" si="46"/>
        <v/>
      </c>
      <c r="V82" s="25" t="str">
        <f t="shared" si="27"/>
        <v/>
      </c>
      <c r="W82" s="7" t="str">
        <f t="shared" si="28"/>
        <v/>
      </c>
      <c r="X82" s="25" t="str">
        <f t="shared" si="29"/>
        <v/>
      </c>
      <c r="Y82" s="25" t="str">
        <f t="shared" si="30"/>
        <v/>
      </c>
      <c r="Z82" s="63" t="str">
        <f t="shared" si="31"/>
        <v/>
      </c>
      <c r="AA82" s="108" t="str">
        <f t="shared" si="32"/>
        <v/>
      </c>
      <c r="AB82" s="41" t="str">
        <f t="shared" si="33"/>
        <v/>
      </c>
      <c r="AC82" s="25" t="str">
        <f t="shared" si="34"/>
        <v/>
      </c>
      <c r="AD82" s="25" t="str">
        <f t="shared" si="35"/>
        <v/>
      </c>
      <c r="AE82" s="41" t="str">
        <f t="shared" si="36"/>
        <v/>
      </c>
      <c r="AF82" s="25" t="str">
        <f t="shared" si="37"/>
        <v/>
      </c>
      <c r="AG82" s="177" t="str">
        <f t="shared" si="38"/>
        <v/>
      </c>
      <c r="AH82" s="178" t="str">
        <f t="shared" si="39"/>
        <v/>
      </c>
    </row>
    <row r="83" spans="1:34" x14ac:dyDescent="0.2">
      <c r="A83" s="117">
        <f t="shared" si="47"/>
        <v>16</v>
      </c>
      <c r="B83" s="91" t="str">
        <f t="shared" si="23"/>
        <v/>
      </c>
      <c r="C83" s="126" t="str">
        <f t="shared" si="40"/>
        <v/>
      </c>
      <c r="D83" s="90" t="str">
        <f t="shared" si="24"/>
        <v/>
      </c>
      <c r="E83" s="174" t="str">
        <f t="shared" si="25"/>
        <v/>
      </c>
      <c r="F83" s="207" t="str">
        <f>IF(Data!C26="","",Data!C26)</f>
        <v/>
      </c>
      <c r="G83" s="36" t="str">
        <f>IF($F83="","",IF($C$40=1,Data!D26,IF($C$40=2,Data!L26,Data!T26)))</f>
        <v/>
      </c>
      <c r="H83" s="36" t="str">
        <f>IF($F83="","",IF($C$40=1,Data!E26,IF($C$40=2,Data!M26,Data!U26)))</f>
        <v/>
      </c>
      <c r="I83" s="36" t="str">
        <f>IF($F83="","",IF($C$40=1,Data!F26,IF($C$40=2,Data!N26,Data!V26)))</f>
        <v/>
      </c>
      <c r="J83" s="36" t="str">
        <f>IF($F83="","",IF($C$40=1,Data!G26,IF($C$40=2,Data!O26,Data!W26)))</f>
        <v/>
      </c>
      <c r="K83" s="36" t="str">
        <f>IF($F83="","",IF($C$40=1,Data!H26,IF($C$40=2,Data!P26,Data!X26)))</f>
        <v/>
      </c>
      <c r="L83" s="36" t="str">
        <f>IF($F83="","",IF($C$40=1,Data!I26,IF($C$40=2,Data!Q26,Data!Y26)))</f>
        <v/>
      </c>
      <c r="M83" s="36" t="str">
        <f>IF($F83="","",IF($C$40=1,Data!J26,IF($C$40=2,Data!R26,Data!Z26)))</f>
        <v/>
      </c>
      <c r="N83" s="36" t="str">
        <f>IF($F83="","",IF($C$40=1,Data!K26,IF($C$40=2,Data!S26,Data!AA26)))</f>
        <v/>
      </c>
      <c r="O83" s="170" t="str">
        <f t="shared" si="26"/>
        <v/>
      </c>
      <c r="P83" s="14" t="str">
        <f t="shared" si="41"/>
        <v/>
      </c>
      <c r="Q83" s="14" t="str">
        <f t="shared" si="42"/>
        <v/>
      </c>
      <c r="R83" s="14" t="str">
        <f t="shared" si="43"/>
        <v/>
      </c>
      <c r="S83" s="14" t="str">
        <f t="shared" si="44"/>
        <v/>
      </c>
      <c r="T83" s="14" t="str">
        <f t="shared" si="45"/>
        <v/>
      </c>
      <c r="U83" s="68" t="str">
        <f t="shared" si="46"/>
        <v/>
      </c>
      <c r="V83" s="25" t="str">
        <f t="shared" si="27"/>
        <v/>
      </c>
      <c r="W83" s="7" t="str">
        <f t="shared" si="28"/>
        <v/>
      </c>
      <c r="X83" s="25" t="str">
        <f t="shared" si="29"/>
        <v/>
      </c>
      <c r="Y83" s="25" t="str">
        <f t="shared" si="30"/>
        <v/>
      </c>
      <c r="Z83" s="63" t="str">
        <f t="shared" si="31"/>
        <v/>
      </c>
      <c r="AA83" s="108" t="str">
        <f t="shared" si="32"/>
        <v/>
      </c>
      <c r="AB83" s="41" t="str">
        <f t="shared" si="33"/>
        <v/>
      </c>
      <c r="AC83" s="25" t="str">
        <f t="shared" si="34"/>
        <v/>
      </c>
      <c r="AD83" s="25" t="str">
        <f t="shared" si="35"/>
        <v/>
      </c>
      <c r="AE83" s="41" t="str">
        <f t="shared" si="36"/>
        <v/>
      </c>
      <c r="AF83" s="25" t="str">
        <f t="shared" si="37"/>
        <v/>
      </c>
      <c r="AG83" s="177" t="str">
        <f t="shared" si="38"/>
        <v/>
      </c>
      <c r="AH83" s="178" t="str">
        <f t="shared" si="39"/>
        <v/>
      </c>
    </row>
    <row r="84" spans="1:34" x14ac:dyDescent="0.2">
      <c r="A84" s="117">
        <f t="shared" si="47"/>
        <v>17</v>
      </c>
      <c r="B84" s="91" t="str">
        <f t="shared" si="23"/>
        <v/>
      </c>
      <c r="C84" s="126" t="str">
        <f t="shared" si="40"/>
        <v/>
      </c>
      <c r="D84" s="90" t="str">
        <f t="shared" si="24"/>
        <v/>
      </c>
      <c r="E84" s="174" t="str">
        <f t="shared" si="25"/>
        <v/>
      </c>
      <c r="F84" s="207" t="str">
        <f>IF(Data!C27="","",Data!C27)</f>
        <v/>
      </c>
      <c r="G84" s="36" t="str">
        <f>IF($F84="","",IF($C$40=1,Data!D27,IF($C$40=2,Data!L27,Data!T27)))</f>
        <v/>
      </c>
      <c r="H84" s="36" t="str">
        <f>IF($F84="","",IF($C$40=1,Data!E27,IF($C$40=2,Data!M27,Data!U27)))</f>
        <v/>
      </c>
      <c r="I84" s="36" t="str">
        <f>IF($F84="","",IF($C$40=1,Data!F27,IF($C$40=2,Data!N27,Data!V27)))</f>
        <v/>
      </c>
      <c r="J84" s="36" t="str">
        <f>IF($F84="","",IF($C$40=1,Data!G27,IF($C$40=2,Data!O27,Data!W27)))</f>
        <v/>
      </c>
      <c r="K84" s="36" t="str">
        <f>IF($F84="","",IF($C$40=1,Data!H27,IF($C$40=2,Data!P27,Data!X27)))</f>
        <v/>
      </c>
      <c r="L84" s="36" t="str">
        <f>IF($F84="","",IF($C$40=1,Data!I27,IF($C$40=2,Data!Q27,Data!Y27)))</f>
        <v/>
      </c>
      <c r="M84" s="36" t="str">
        <f>IF($F84="","",IF($C$40=1,Data!J27,IF($C$40=2,Data!R27,Data!Z27)))</f>
        <v/>
      </c>
      <c r="N84" s="36" t="str">
        <f>IF($F84="","",IF($C$40=1,Data!K27,IF($C$40=2,Data!S27,Data!AA27)))</f>
        <v/>
      </c>
      <c r="O84" s="170" t="str">
        <f t="shared" si="26"/>
        <v/>
      </c>
      <c r="P84" s="14" t="str">
        <f t="shared" si="41"/>
        <v/>
      </c>
      <c r="Q84" s="14" t="str">
        <f t="shared" si="42"/>
        <v/>
      </c>
      <c r="R84" s="14" t="str">
        <f t="shared" si="43"/>
        <v/>
      </c>
      <c r="S84" s="14" t="str">
        <f t="shared" si="44"/>
        <v/>
      </c>
      <c r="T84" s="14" t="str">
        <f t="shared" si="45"/>
        <v/>
      </c>
      <c r="U84" s="68" t="str">
        <f t="shared" si="46"/>
        <v/>
      </c>
      <c r="V84" s="25" t="str">
        <f t="shared" si="27"/>
        <v/>
      </c>
      <c r="W84" s="7" t="str">
        <f t="shared" si="28"/>
        <v/>
      </c>
      <c r="X84" s="25" t="str">
        <f t="shared" si="29"/>
        <v/>
      </c>
      <c r="Y84" s="25" t="str">
        <f t="shared" si="30"/>
        <v/>
      </c>
      <c r="Z84" s="63" t="str">
        <f t="shared" si="31"/>
        <v/>
      </c>
      <c r="AA84" s="108" t="str">
        <f t="shared" si="32"/>
        <v/>
      </c>
      <c r="AB84" s="41" t="str">
        <f t="shared" si="33"/>
        <v/>
      </c>
      <c r="AC84" s="25" t="str">
        <f t="shared" si="34"/>
        <v/>
      </c>
      <c r="AD84" s="25" t="str">
        <f t="shared" si="35"/>
        <v/>
      </c>
      <c r="AE84" s="41" t="str">
        <f t="shared" si="36"/>
        <v/>
      </c>
      <c r="AF84" s="25" t="str">
        <f t="shared" si="37"/>
        <v/>
      </c>
      <c r="AG84" s="177" t="str">
        <f t="shared" si="38"/>
        <v/>
      </c>
      <c r="AH84" s="178" t="str">
        <f t="shared" si="39"/>
        <v/>
      </c>
    </row>
    <row r="85" spans="1:34" x14ac:dyDescent="0.2">
      <c r="A85" s="117">
        <f t="shared" si="47"/>
        <v>18</v>
      </c>
      <c r="B85" s="91" t="str">
        <f t="shared" si="23"/>
        <v/>
      </c>
      <c r="C85" s="126" t="str">
        <f t="shared" si="40"/>
        <v/>
      </c>
      <c r="D85" s="90" t="str">
        <f t="shared" si="24"/>
        <v/>
      </c>
      <c r="E85" s="174" t="str">
        <f t="shared" si="25"/>
        <v/>
      </c>
      <c r="F85" s="207" t="str">
        <f>IF(Data!C28="","",Data!C28)</f>
        <v/>
      </c>
      <c r="G85" s="36" t="str">
        <f>IF($F85="","",IF($C$40=1,Data!D28,IF($C$40=2,Data!L28,Data!T28)))</f>
        <v/>
      </c>
      <c r="H85" s="36" t="str">
        <f>IF($F85="","",IF($C$40=1,Data!E28,IF($C$40=2,Data!M28,Data!U28)))</f>
        <v/>
      </c>
      <c r="I85" s="36" t="str">
        <f>IF($F85="","",IF($C$40=1,Data!F28,IF($C$40=2,Data!N28,Data!V28)))</f>
        <v/>
      </c>
      <c r="J85" s="36" t="str">
        <f>IF($F85="","",IF($C$40=1,Data!G28,IF($C$40=2,Data!O28,Data!W28)))</f>
        <v/>
      </c>
      <c r="K85" s="36" t="str">
        <f>IF($F85="","",IF($C$40=1,Data!H28,IF($C$40=2,Data!P28,Data!X28)))</f>
        <v/>
      </c>
      <c r="L85" s="36" t="str">
        <f>IF($F85="","",IF($C$40=1,Data!I28,IF($C$40=2,Data!Q28,Data!Y28)))</f>
        <v/>
      </c>
      <c r="M85" s="36" t="str">
        <f>IF($F85="","",IF($C$40=1,Data!J28,IF($C$40=2,Data!R28,Data!Z28)))</f>
        <v/>
      </c>
      <c r="N85" s="36" t="str">
        <f>IF($F85="","",IF($C$40=1,Data!K28,IF($C$40=2,Data!S28,Data!AA28)))</f>
        <v/>
      </c>
      <c r="O85" s="170" t="str">
        <f t="shared" si="26"/>
        <v/>
      </c>
      <c r="P85" s="14" t="str">
        <f t="shared" si="41"/>
        <v/>
      </c>
      <c r="Q85" s="14" t="str">
        <f t="shared" si="42"/>
        <v/>
      </c>
      <c r="R85" s="14" t="str">
        <f t="shared" si="43"/>
        <v/>
      </c>
      <c r="S85" s="14" t="str">
        <f t="shared" si="44"/>
        <v/>
      </c>
      <c r="T85" s="14" t="str">
        <f t="shared" si="45"/>
        <v/>
      </c>
      <c r="U85" s="68" t="str">
        <f t="shared" si="46"/>
        <v/>
      </c>
      <c r="V85" s="25" t="str">
        <f t="shared" si="27"/>
        <v/>
      </c>
      <c r="W85" s="7" t="str">
        <f t="shared" si="28"/>
        <v/>
      </c>
      <c r="X85" s="25" t="str">
        <f t="shared" si="29"/>
        <v/>
      </c>
      <c r="Y85" s="25" t="str">
        <f t="shared" si="30"/>
        <v/>
      </c>
      <c r="Z85" s="63" t="str">
        <f t="shared" si="31"/>
        <v/>
      </c>
      <c r="AA85" s="108" t="str">
        <f t="shared" si="32"/>
        <v/>
      </c>
      <c r="AB85" s="41" t="str">
        <f t="shared" si="33"/>
        <v/>
      </c>
      <c r="AC85" s="25" t="str">
        <f t="shared" si="34"/>
        <v/>
      </c>
      <c r="AD85" s="25" t="str">
        <f t="shared" si="35"/>
        <v/>
      </c>
      <c r="AE85" s="41" t="str">
        <f t="shared" si="36"/>
        <v/>
      </c>
      <c r="AF85" s="25" t="str">
        <f t="shared" si="37"/>
        <v/>
      </c>
      <c r="AG85" s="177" t="str">
        <f t="shared" si="38"/>
        <v/>
      </c>
      <c r="AH85" s="178" t="str">
        <f t="shared" si="39"/>
        <v/>
      </c>
    </row>
    <row r="86" spans="1:34" x14ac:dyDescent="0.2">
      <c r="A86" s="117">
        <f t="shared" si="47"/>
        <v>19</v>
      </c>
      <c r="B86" s="91" t="str">
        <f t="shared" si="23"/>
        <v/>
      </c>
      <c r="C86" s="126" t="str">
        <f t="shared" si="40"/>
        <v/>
      </c>
      <c r="D86" s="90" t="str">
        <f t="shared" si="24"/>
        <v/>
      </c>
      <c r="E86" s="174" t="str">
        <f t="shared" si="25"/>
        <v/>
      </c>
      <c r="F86" s="207" t="str">
        <f>IF(Data!C29="","",Data!C29)</f>
        <v/>
      </c>
      <c r="G86" s="36" t="str">
        <f>IF($F86="","",IF($C$40=1,Data!D29,IF($C$40=2,Data!L29,Data!T29)))</f>
        <v/>
      </c>
      <c r="H86" s="36" t="str">
        <f>IF($F86="","",IF($C$40=1,Data!E29,IF($C$40=2,Data!M29,Data!U29)))</f>
        <v/>
      </c>
      <c r="I86" s="36" t="str">
        <f>IF($F86="","",IF($C$40=1,Data!F29,IF($C$40=2,Data!N29,Data!V29)))</f>
        <v/>
      </c>
      <c r="J86" s="36" t="str">
        <f>IF($F86="","",IF($C$40=1,Data!G29,IF($C$40=2,Data!O29,Data!W29)))</f>
        <v/>
      </c>
      <c r="K86" s="36" t="str">
        <f>IF($F86="","",IF($C$40=1,Data!H29,IF($C$40=2,Data!P29,Data!X29)))</f>
        <v/>
      </c>
      <c r="L86" s="36" t="str">
        <f>IF($F86="","",IF($C$40=1,Data!I29,IF($C$40=2,Data!Q29,Data!Y29)))</f>
        <v/>
      </c>
      <c r="M86" s="36" t="str">
        <f>IF($F86="","",IF($C$40=1,Data!J29,IF($C$40=2,Data!R29,Data!Z29)))</f>
        <v/>
      </c>
      <c r="N86" s="36" t="str">
        <f>IF($F86="","",IF($C$40=1,Data!K29,IF($C$40=2,Data!S29,Data!AA29)))</f>
        <v/>
      </c>
      <c r="O86" s="170" t="str">
        <f t="shared" si="26"/>
        <v/>
      </c>
      <c r="P86" s="14" t="str">
        <f t="shared" si="41"/>
        <v/>
      </c>
      <c r="Q86" s="14" t="str">
        <f t="shared" si="42"/>
        <v/>
      </c>
      <c r="R86" s="14" t="str">
        <f t="shared" si="43"/>
        <v/>
      </c>
      <c r="S86" s="14" t="str">
        <f t="shared" si="44"/>
        <v/>
      </c>
      <c r="T86" s="14" t="str">
        <f t="shared" si="45"/>
        <v/>
      </c>
      <c r="U86" s="68" t="str">
        <f t="shared" si="46"/>
        <v/>
      </c>
      <c r="V86" s="25" t="str">
        <f t="shared" si="27"/>
        <v/>
      </c>
      <c r="W86" s="7" t="str">
        <f t="shared" si="28"/>
        <v/>
      </c>
      <c r="X86" s="25" t="str">
        <f t="shared" si="29"/>
        <v/>
      </c>
      <c r="Y86" s="25" t="str">
        <f t="shared" si="30"/>
        <v/>
      </c>
      <c r="Z86" s="63" t="str">
        <f t="shared" si="31"/>
        <v/>
      </c>
      <c r="AA86" s="108" t="str">
        <f t="shared" si="32"/>
        <v/>
      </c>
      <c r="AB86" s="41" t="str">
        <f t="shared" si="33"/>
        <v/>
      </c>
      <c r="AC86" s="25" t="str">
        <f t="shared" si="34"/>
        <v/>
      </c>
      <c r="AD86" s="25" t="str">
        <f t="shared" si="35"/>
        <v/>
      </c>
      <c r="AE86" s="41" t="str">
        <f t="shared" si="36"/>
        <v/>
      </c>
      <c r="AF86" s="25" t="str">
        <f t="shared" si="37"/>
        <v/>
      </c>
      <c r="AG86" s="177" t="str">
        <f t="shared" si="38"/>
        <v/>
      </c>
      <c r="AH86" s="178" t="str">
        <f t="shared" si="39"/>
        <v/>
      </c>
    </row>
    <row r="87" spans="1:34" x14ac:dyDescent="0.2">
      <c r="A87" s="160">
        <f t="shared" si="47"/>
        <v>20</v>
      </c>
      <c r="B87" s="161" t="str">
        <f t="shared" si="23"/>
        <v/>
      </c>
      <c r="C87" s="162" t="str">
        <f t="shared" si="40"/>
        <v/>
      </c>
      <c r="D87" s="163" t="str">
        <f t="shared" si="24"/>
        <v/>
      </c>
      <c r="E87" s="175" t="str">
        <f t="shared" si="25"/>
        <v/>
      </c>
      <c r="F87" s="208" t="str">
        <f>IF(Data!C30="","",Data!C30)</f>
        <v/>
      </c>
      <c r="G87" s="71" t="str">
        <f>IF($F87="","",IF($C$40=1,Data!D30,IF($C$40=2,Data!L30,Data!T30)))</f>
        <v/>
      </c>
      <c r="H87" s="71" t="str">
        <f>IF($F87="","",IF($C$40=1,Data!E30,IF($C$40=2,Data!M30,Data!U30)))</f>
        <v/>
      </c>
      <c r="I87" s="71" t="str">
        <f>IF($F87="","",IF($C$40=1,Data!F30,IF($C$40=2,Data!N30,Data!V30)))</f>
        <v/>
      </c>
      <c r="J87" s="71" t="str">
        <f>IF($F87="","",IF($C$40=1,Data!G30,IF($C$40=2,Data!O30,Data!W30)))</f>
        <v/>
      </c>
      <c r="K87" s="71" t="str">
        <f>IF($F87="","",IF($C$40=1,Data!H30,IF($C$40=2,Data!P30,Data!X30)))</f>
        <v/>
      </c>
      <c r="L87" s="71" t="str">
        <f>IF($F87="","",IF($C$40=1,Data!I30,IF($C$40=2,Data!Q30,Data!Y30)))</f>
        <v/>
      </c>
      <c r="M87" s="71" t="str">
        <f>IF($F87="","",IF($C$40=1,Data!J30,IF($C$40=2,Data!R30,Data!Z30)))</f>
        <v/>
      </c>
      <c r="N87" s="71" t="str">
        <f>IF($F87="","",IF($C$40=1,Data!K30,IF($C$40=2,Data!S30,Data!AA30)))</f>
        <v/>
      </c>
      <c r="O87" s="172" t="str">
        <f t="shared" si="26"/>
        <v/>
      </c>
      <c r="P87" s="164" t="str">
        <f t="shared" si="41"/>
        <v/>
      </c>
      <c r="Q87" s="164" t="str">
        <f t="shared" si="42"/>
        <v/>
      </c>
      <c r="R87" s="164" t="str">
        <f t="shared" si="43"/>
        <v/>
      </c>
      <c r="S87" s="164" t="str">
        <f t="shared" si="44"/>
        <v/>
      </c>
      <c r="T87" s="164" t="str">
        <f t="shared" si="45"/>
        <v/>
      </c>
      <c r="U87" s="165" t="str">
        <f t="shared" si="46"/>
        <v/>
      </c>
      <c r="V87" s="167" t="str">
        <f t="shared" si="27"/>
        <v/>
      </c>
      <c r="W87" s="123" t="str">
        <f t="shared" si="28"/>
        <v/>
      </c>
      <c r="X87" s="167" t="str">
        <f t="shared" si="29"/>
        <v/>
      </c>
      <c r="Y87" s="167" t="str">
        <f t="shared" si="30"/>
        <v/>
      </c>
      <c r="Z87" s="168" t="str">
        <f t="shared" si="31"/>
        <v/>
      </c>
      <c r="AA87" s="166" t="str">
        <f t="shared" si="32"/>
        <v/>
      </c>
      <c r="AB87" s="79" t="str">
        <f t="shared" si="33"/>
        <v/>
      </c>
      <c r="AC87" s="167" t="str">
        <f t="shared" si="34"/>
        <v/>
      </c>
      <c r="AD87" s="167" t="str">
        <f t="shared" si="35"/>
        <v/>
      </c>
      <c r="AE87" s="79" t="str">
        <f t="shared" si="36"/>
        <v/>
      </c>
      <c r="AF87" s="167" t="str">
        <f t="shared" si="37"/>
        <v/>
      </c>
      <c r="AG87" s="179" t="str">
        <f t="shared" si="38"/>
        <v/>
      </c>
      <c r="AH87" s="180" t="str">
        <f t="shared" si="39"/>
        <v/>
      </c>
    </row>
  </sheetData>
  <phoneticPr fontId="6" type="noConversion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  <ignoredErrors>
    <ignoredError sqref="D64 D56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3</xdr:col>
                    <xdr:colOff>47625</xdr:colOff>
                    <xdr:row>36</xdr:row>
                    <xdr:rowOff>0</xdr:rowOff>
                  </from>
                  <to>
                    <xdr:col>3</xdr:col>
                    <xdr:colOff>314325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1</xdr:col>
                    <xdr:colOff>47625</xdr:colOff>
                    <xdr:row>36</xdr:row>
                    <xdr:rowOff>0</xdr:rowOff>
                  </from>
                  <to>
                    <xdr:col>1</xdr:col>
                    <xdr:colOff>314325</xdr:colOff>
                    <xdr:row>39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zoomScale="80" zoomScaleNormal="80" workbookViewId="0"/>
  </sheetViews>
  <sheetFormatPr defaultColWidth="8.85546875" defaultRowHeight="15" x14ac:dyDescent="0.2"/>
  <cols>
    <col min="1" max="1" width="32.28515625" style="308" bestFit="1" customWidth="1"/>
    <col min="2" max="10" width="12.7109375" customWidth="1"/>
    <col min="11" max="11" width="12.7109375" style="308" customWidth="1"/>
    <col min="12" max="12" width="12.7109375" customWidth="1"/>
    <col min="13" max="13" width="10.7109375" style="308" customWidth="1"/>
    <col min="14" max="14" width="18.28515625" style="308" bestFit="1" customWidth="1"/>
    <col min="15" max="24" width="10.7109375" style="308" customWidth="1"/>
    <col min="25" max="25" width="20.7109375" style="308" customWidth="1"/>
    <col min="26" max="16384" width="8.85546875" style="308"/>
  </cols>
  <sheetData>
    <row r="1" spans="1:25" ht="15.75" x14ac:dyDescent="0.25">
      <c r="A1" s="309" t="s">
        <v>123</v>
      </c>
      <c r="B1" s="310"/>
      <c r="C1" s="311"/>
      <c r="D1" s="311" t="s">
        <v>114</v>
      </c>
      <c r="E1" s="311"/>
      <c r="F1" s="311" t="s">
        <v>115</v>
      </c>
      <c r="G1" s="311"/>
      <c r="H1" s="311" t="s">
        <v>116</v>
      </c>
      <c r="I1" s="311"/>
      <c r="J1" s="312" t="s">
        <v>117</v>
      </c>
      <c r="K1" s="313" t="s">
        <v>117</v>
      </c>
    </row>
    <row r="2" spans="1:25" ht="15.75" x14ac:dyDescent="0.25">
      <c r="A2" s="309" t="s">
        <v>124</v>
      </c>
      <c r="B2" s="314" t="s">
        <v>10</v>
      </c>
      <c r="C2" s="315" t="s">
        <v>59</v>
      </c>
      <c r="D2" s="315" t="s">
        <v>60</v>
      </c>
      <c r="E2" s="315" t="s">
        <v>61</v>
      </c>
      <c r="F2" s="315" t="s">
        <v>118</v>
      </c>
      <c r="G2" s="315" t="s">
        <v>119</v>
      </c>
      <c r="H2" s="315" t="s">
        <v>60</v>
      </c>
      <c r="I2" s="315" t="s">
        <v>61</v>
      </c>
      <c r="J2" s="316" t="s">
        <v>114</v>
      </c>
      <c r="K2" s="317" t="s">
        <v>116</v>
      </c>
    </row>
    <row r="3" spans="1:25" x14ac:dyDescent="0.2">
      <c r="B3" s="318">
        <v>1</v>
      </c>
      <c r="C3" s="319">
        <v>10</v>
      </c>
      <c r="D3" s="319">
        <v>44</v>
      </c>
      <c r="E3" s="320">
        <v>22.91</v>
      </c>
      <c r="F3" s="321" t="s">
        <v>120</v>
      </c>
      <c r="G3" s="319">
        <v>59</v>
      </c>
      <c r="H3" s="319">
        <v>59</v>
      </c>
      <c r="I3" s="320">
        <v>36</v>
      </c>
      <c r="J3" s="322">
        <f t="shared" ref="J3:J12" si="0">IF(B3="","",360*(C3+D3/60+E3/3600)/24)</f>
        <v>161.09545833333331</v>
      </c>
      <c r="K3" s="323">
        <f t="shared" ref="K3:K12" si="1">IF(B3="","",IF(F3="+",(G3+H3/60+I3/3600),-(G3+H3/60+I3/3600)))</f>
        <v>-59.993333333333332</v>
      </c>
    </row>
    <row r="4" spans="1:25" x14ac:dyDescent="0.2">
      <c r="B4" s="318">
        <v>2</v>
      </c>
      <c r="C4" s="319">
        <v>10</v>
      </c>
      <c r="D4" s="319">
        <v>41</v>
      </c>
      <c r="E4" s="320">
        <v>12.35</v>
      </c>
      <c r="F4" s="321" t="s">
        <v>120</v>
      </c>
      <c r="G4" s="319">
        <v>59</v>
      </c>
      <c r="H4" s="319">
        <v>58</v>
      </c>
      <c r="I4" s="320">
        <v>25</v>
      </c>
      <c r="J4" s="324">
        <f t="shared" si="0"/>
        <v>160.30145833333333</v>
      </c>
      <c r="K4" s="325">
        <f t="shared" si="1"/>
        <v>-59.973611111111111</v>
      </c>
    </row>
    <row r="5" spans="1:25" x14ac:dyDescent="0.2">
      <c r="B5" s="318">
        <v>3</v>
      </c>
      <c r="C5" s="319">
        <v>10</v>
      </c>
      <c r="D5" s="319">
        <v>43</v>
      </c>
      <c r="E5" s="320">
        <v>52.26</v>
      </c>
      <c r="F5" s="321" t="s">
        <v>120</v>
      </c>
      <c r="G5" s="319">
        <v>60</v>
      </c>
      <c r="H5" s="319">
        <v>7</v>
      </c>
      <c r="I5" s="320">
        <v>4</v>
      </c>
      <c r="J5" s="324">
        <f t="shared" si="0"/>
        <v>160.96775</v>
      </c>
      <c r="K5" s="325">
        <f t="shared" si="1"/>
        <v>-60.117777777777775</v>
      </c>
    </row>
    <row r="6" spans="1:25" ht="15.75" x14ac:dyDescent="0.25">
      <c r="B6" s="318">
        <v>4</v>
      </c>
      <c r="C6" s="319">
        <v>10</v>
      </c>
      <c r="D6" s="319">
        <v>44</v>
      </c>
      <c r="E6" s="320">
        <v>36.25</v>
      </c>
      <c r="F6" s="321" t="s">
        <v>120</v>
      </c>
      <c r="G6" s="319">
        <v>60</v>
      </c>
      <c r="H6" s="319">
        <v>5</v>
      </c>
      <c r="I6" s="320">
        <v>28.9</v>
      </c>
      <c r="J6" s="324">
        <f t="shared" si="0"/>
        <v>161.15104166666666</v>
      </c>
      <c r="K6" s="325">
        <f t="shared" si="1"/>
        <v>-60.091361111111112</v>
      </c>
      <c r="M6" s="326"/>
      <c r="N6" s="327"/>
      <c r="P6" s="328"/>
      <c r="Q6" s="327"/>
      <c r="R6" s="327"/>
      <c r="S6" s="327"/>
      <c r="T6" s="327"/>
      <c r="U6" s="327"/>
      <c r="V6" s="328"/>
      <c r="W6" s="327"/>
      <c r="X6" s="327"/>
      <c r="Y6" s="327"/>
    </row>
    <row r="7" spans="1:25" x14ac:dyDescent="0.2">
      <c r="B7" s="318">
        <v>5</v>
      </c>
      <c r="C7" s="319">
        <v>10</v>
      </c>
      <c r="D7" s="319">
        <v>48</v>
      </c>
      <c r="E7" s="320">
        <v>37.770000000000003</v>
      </c>
      <c r="F7" s="321" t="s">
        <v>120</v>
      </c>
      <c r="G7" s="319">
        <v>60</v>
      </c>
      <c r="H7" s="319">
        <v>13</v>
      </c>
      <c r="I7" s="320">
        <v>25.5</v>
      </c>
      <c r="J7" s="324">
        <f t="shared" si="0"/>
        <v>162.15737500000003</v>
      </c>
      <c r="K7" s="325">
        <f t="shared" si="1"/>
        <v>-60.223750000000003</v>
      </c>
    </row>
    <row r="8" spans="1:25" x14ac:dyDescent="0.2">
      <c r="B8" s="318">
        <v>6</v>
      </c>
      <c r="C8" s="319">
        <v>10</v>
      </c>
      <c r="D8" s="319">
        <v>49</v>
      </c>
      <c r="E8" s="320">
        <v>13.64</v>
      </c>
      <c r="F8" s="321" t="s">
        <v>120</v>
      </c>
      <c r="G8" s="319">
        <v>60</v>
      </c>
      <c r="H8" s="319">
        <v>11</v>
      </c>
      <c r="I8" s="320">
        <v>3.3</v>
      </c>
      <c r="J8" s="324">
        <f t="shared" si="0"/>
        <v>162.30683333333334</v>
      </c>
      <c r="K8" s="325">
        <f t="shared" si="1"/>
        <v>-60.184249999999999</v>
      </c>
    </row>
    <row r="9" spans="1:25" x14ac:dyDescent="0.2">
      <c r="B9" s="318">
        <v>7</v>
      </c>
      <c r="C9" s="319">
        <v>10</v>
      </c>
      <c r="D9" s="319">
        <v>47</v>
      </c>
      <c r="E9" s="320">
        <v>44.32</v>
      </c>
      <c r="F9" s="321" t="s">
        <v>120</v>
      </c>
      <c r="G9" s="319">
        <v>59</v>
      </c>
      <c r="H9" s="319">
        <v>52</v>
      </c>
      <c r="I9" s="320">
        <v>30.9</v>
      </c>
      <c r="J9" s="324">
        <f t="shared" si="0"/>
        <v>161.93466666666669</v>
      </c>
      <c r="K9" s="325">
        <f t="shared" si="1"/>
        <v>-59.875250000000001</v>
      </c>
    </row>
    <row r="10" spans="1:25" x14ac:dyDescent="0.2">
      <c r="B10" s="318">
        <v>8</v>
      </c>
      <c r="C10" s="319">
        <v>10</v>
      </c>
      <c r="D10" s="319">
        <v>50</v>
      </c>
      <c r="E10" s="320">
        <v>58.62</v>
      </c>
      <c r="F10" s="321" t="s">
        <v>120</v>
      </c>
      <c r="G10" s="319">
        <v>59</v>
      </c>
      <c r="H10" s="319">
        <v>57</v>
      </c>
      <c r="I10" s="320">
        <v>26.3</v>
      </c>
      <c r="J10" s="324">
        <f t="shared" si="0"/>
        <v>162.74425000000002</v>
      </c>
      <c r="K10" s="325">
        <f t="shared" si="1"/>
        <v>-59.957305555555557</v>
      </c>
    </row>
    <row r="11" spans="1:25" x14ac:dyDescent="0.2">
      <c r="B11" s="318">
        <v>9</v>
      </c>
      <c r="C11" s="319">
        <v>10</v>
      </c>
      <c r="D11" s="319">
        <v>51</v>
      </c>
      <c r="E11" s="320">
        <v>20.7</v>
      </c>
      <c r="F11" s="321" t="s">
        <v>120</v>
      </c>
      <c r="G11" s="319">
        <v>59</v>
      </c>
      <c r="H11" s="319">
        <v>44</v>
      </c>
      <c r="I11" s="320">
        <v>38</v>
      </c>
      <c r="J11" s="324">
        <f t="shared" si="0"/>
        <v>162.83625000000001</v>
      </c>
      <c r="K11" s="325">
        <f t="shared" si="1"/>
        <v>-59.74388888888889</v>
      </c>
    </row>
    <row r="12" spans="1:25" x14ac:dyDescent="0.2">
      <c r="A12"/>
      <c r="B12" s="329">
        <v>10</v>
      </c>
      <c r="C12" s="330">
        <v>10</v>
      </c>
      <c r="D12" s="330">
        <v>48</v>
      </c>
      <c r="E12" s="331">
        <v>55.22</v>
      </c>
      <c r="F12" s="332" t="s">
        <v>120</v>
      </c>
      <c r="G12" s="330">
        <v>59</v>
      </c>
      <c r="H12" s="330">
        <v>26</v>
      </c>
      <c r="I12" s="331">
        <v>48.4</v>
      </c>
      <c r="J12" s="333">
        <f t="shared" si="0"/>
        <v>162.23008333333334</v>
      </c>
      <c r="K12" s="334">
        <f t="shared" si="1"/>
        <v>-59.446777777777775</v>
      </c>
      <c r="L12" s="308"/>
    </row>
    <row r="13" spans="1:25" x14ac:dyDescent="0.2">
      <c r="M13" s="335"/>
    </row>
    <row r="14" spans="1:25" ht="15.75" x14ac:dyDescent="0.25">
      <c r="A14" s="309" t="s">
        <v>122</v>
      </c>
      <c r="B14" s="336"/>
      <c r="C14" s="312" t="s">
        <v>117</v>
      </c>
      <c r="D14" s="311" t="s">
        <v>117</v>
      </c>
      <c r="E14" s="312"/>
      <c r="F14" s="311" t="s">
        <v>114</v>
      </c>
      <c r="G14" s="311"/>
      <c r="H14" s="311" t="s">
        <v>115</v>
      </c>
      <c r="I14" s="311"/>
      <c r="J14" s="311" t="s">
        <v>116</v>
      </c>
      <c r="K14" s="313"/>
      <c r="M14" s="337"/>
    </row>
    <row r="15" spans="1:25" ht="15.75" x14ac:dyDescent="0.25">
      <c r="A15" s="309" t="s">
        <v>121</v>
      </c>
      <c r="B15" s="338" t="s">
        <v>10</v>
      </c>
      <c r="C15" s="316" t="s">
        <v>114</v>
      </c>
      <c r="D15" s="315" t="s">
        <v>116</v>
      </c>
      <c r="E15" s="316" t="s">
        <v>59</v>
      </c>
      <c r="F15" s="315" t="s">
        <v>60</v>
      </c>
      <c r="G15" s="315" t="s">
        <v>61</v>
      </c>
      <c r="H15" s="315" t="s">
        <v>118</v>
      </c>
      <c r="I15" s="315" t="s">
        <v>119</v>
      </c>
      <c r="J15" s="315" t="s">
        <v>60</v>
      </c>
      <c r="K15" s="317" t="s">
        <v>61</v>
      </c>
      <c r="L15" s="308"/>
      <c r="M15" s="339"/>
    </row>
    <row r="16" spans="1:25" x14ac:dyDescent="0.2">
      <c r="B16" s="340">
        <v>1</v>
      </c>
      <c r="C16" s="341">
        <v>161.09545833333331</v>
      </c>
      <c r="D16" s="342">
        <v>-59.993333333333332</v>
      </c>
      <c r="E16" s="343">
        <f>INT((C16/360)*24)</f>
        <v>10</v>
      </c>
      <c r="F16" s="344">
        <f>INT(((C16/360)*24-E16)*60)</f>
        <v>44</v>
      </c>
      <c r="G16" s="345">
        <f>((((C16/360)*24-E16)*60)-INT(((C16/360)*24-E16)*60))*60</f>
        <v>22.909999999994426</v>
      </c>
      <c r="H16" s="346" t="str">
        <f>IF(D16&lt;0,"-","+")</f>
        <v>-</v>
      </c>
      <c r="I16" s="347">
        <f>ABS(TRUNC(D16))</f>
        <v>59</v>
      </c>
      <c r="J16" s="347">
        <f>TRUNC((ABS(D16)-TRUNC(ABS(D16)))*60)</f>
        <v>59</v>
      </c>
      <c r="K16" s="348">
        <f>(((ABS(D16)-TRUNC(ABS(D16)))*60)-TRUNC((ABS(D16)-TRUNC(ABS(D16)))*60))*60</f>
        <v>35.999999999996248</v>
      </c>
      <c r="L16" s="308"/>
      <c r="M16" s="335"/>
    </row>
    <row r="17" spans="1:14" x14ac:dyDescent="0.2">
      <c r="B17" s="340">
        <v>2</v>
      </c>
      <c r="C17" s="349">
        <v>160.30145833333333</v>
      </c>
      <c r="D17" s="350">
        <v>-59.973611111111111</v>
      </c>
      <c r="E17" s="343">
        <f t="shared" ref="E17:E25" si="2">INT((C17/360)*24)</f>
        <v>10</v>
      </c>
      <c r="F17" s="344">
        <f t="shared" ref="F17:F25" si="3">INT(((C17/360)*24-E17)*60)</f>
        <v>41</v>
      </c>
      <c r="G17" s="345">
        <f t="shared" ref="G17:G25" si="4">((((C17/360)*24-E17)*60)-INT(((C17/360)*24-E17)*60))*60</f>
        <v>12.349999999999426</v>
      </c>
      <c r="H17" s="346" t="str">
        <f t="shared" ref="H17:H25" si="5">IF(D17&lt;0,"-","+")</f>
        <v>-</v>
      </c>
      <c r="I17" s="344">
        <f t="shared" ref="I17:I25" si="6">ABS(TRUNC(D17))</f>
        <v>59</v>
      </c>
      <c r="J17" s="347">
        <f t="shared" ref="J17:J25" si="7">TRUNC((ABS(D17)-TRUNC(ABS(D17)))*60)</f>
        <v>58</v>
      </c>
      <c r="K17" s="348">
        <f t="shared" ref="K17:K25" si="8">(((ABS(D17)-TRUNC(ABS(D17)))*60)-TRUNC((ABS(D17)-TRUNC(ABS(D17)))*60))*60</f>
        <v>25.000000000001137</v>
      </c>
      <c r="L17" s="308"/>
      <c r="M17" s="339"/>
    </row>
    <row r="18" spans="1:14" x14ac:dyDescent="0.2">
      <c r="B18" s="340">
        <v>3</v>
      </c>
      <c r="C18" s="349">
        <v>160.96775</v>
      </c>
      <c r="D18" s="350">
        <v>-60.117777777777775</v>
      </c>
      <c r="E18" s="343">
        <f t="shared" si="2"/>
        <v>10</v>
      </c>
      <c r="F18" s="344">
        <f t="shared" si="3"/>
        <v>43</v>
      </c>
      <c r="G18" s="345">
        <f t="shared" si="4"/>
        <v>52.260000000002265</v>
      </c>
      <c r="H18" s="346" t="str">
        <f t="shared" si="5"/>
        <v>-</v>
      </c>
      <c r="I18" s="344">
        <f t="shared" si="6"/>
        <v>60</v>
      </c>
      <c r="J18" s="347">
        <f t="shared" si="7"/>
        <v>7</v>
      </c>
      <c r="K18" s="348">
        <f t="shared" si="8"/>
        <v>3.9999999999895408</v>
      </c>
      <c r="L18" s="308"/>
      <c r="M18" s="351"/>
    </row>
    <row r="19" spans="1:14" x14ac:dyDescent="0.2">
      <c r="B19" s="340">
        <v>4</v>
      </c>
      <c r="C19" s="349">
        <v>161.15104166666666</v>
      </c>
      <c r="D19" s="350">
        <v>-60.091361111111112</v>
      </c>
      <c r="E19" s="343">
        <f t="shared" si="2"/>
        <v>10</v>
      </c>
      <c r="F19" s="344">
        <f t="shared" si="3"/>
        <v>44</v>
      </c>
      <c r="G19" s="345">
        <f t="shared" si="4"/>
        <v>36.250000000000284</v>
      </c>
      <c r="H19" s="346" t="str">
        <f t="shared" si="5"/>
        <v>-</v>
      </c>
      <c r="I19" s="344">
        <f t="shared" si="6"/>
        <v>60</v>
      </c>
      <c r="J19" s="347">
        <f t="shared" si="7"/>
        <v>5</v>
      </c>
      <c r="K19" s="348">
        <f t="shared" si="8"/>
        <v>28.900000000004411</v>
      </c>
      <c r="L19" s="308"/>
    </row>
    <row r="20" spans="1:14" x14ac:dyDescent="0.2">
      <c r="B20" s="340">
        <v>5</v>
      </c>
      <c r="C20" s="349">
        <v>162.15737500000003</v>
      </c>
      <c r="D20" s="350">
        <v>-60.223750000000003</v>
      </c>
      <c r="E20" s="343">
        <f t="shared" si="2"/>
        <v>10</v>
      </c>
      <c r="F20" s="344">
        <f t="shared" si="3"/>
        <v>48</v>
      </c>
      <c r="G20" s="345">
        <f t="shared" si="4"/>
        <v>37.770000000002995</v>
      </c>
      <c r="H20" s="346" t="str">
        <f t="shared" si="5"/>
        <v>-</v>
      </c>
      <c r="I20" s="344">
        <f t="shared" si="6"/>
        <v>60</v>
      </c>
      <c r="J20" s="347">
        <f t="shared" si="7"/>
        <v>13</v>
      </c>
      <c r="K20" s="348">
        <f t="shared" si="8"/>
        <v>25.500000000009209</v>
      </c>
      <c r="L20" s="308"/>
    </row>
    <row r="21" spans="1:14" x14ac:dyDescent="0.2">
      <c r="B21" s="340">
        <v>6</v>
      </c>
      <c r="C21" s="349">
        <v>162.30683333333334</v>
      </c>
      <c r="D21" s="350">
        <v>-60.184249999999999</v>
      </c>
      <c r="E21" s="343">
        <f t="shared" si="2"/>
        <v>10</v>
      </c>
      <c r="F21" s="344">
        <f t="shared" si="3"/>
        <v>49</v>
      </c>
      <c r="G21" s="345">
        <f t="shared" si="4"/>
        <v>13.640000000002175</v>
      </c>
      <c r="H21" s="346" t="str">
        <f t="shared" si="5"/>
        <v>-</v>
      </c>
      <c r="I21" s="344">
        <f t="shared" si="6"/>
        <v>60</v>
      </c>
      <c r="J21" s="347">
        <f t="shared" si="7"/>
        <v>11</v>
      </c>
      <c r="K21" s="348">
        <f t="shared" si="8"/>
        <v>3.2999999999952934</v>
      </c>
      <c r="L21" s="308"/>
    </row>
    <row r="22" spans="1:14" x14ac:dyDescent="0.2">
      <c r="B22" s="340">
        <v>7</v>
      </c>
      <c r="C22" s="349">
        <v>161.93466666666669</v>
      </c>
      <c r="D22" s="350">
        <v>-59.875250000000001</v>
      </c>
      <c r="E22" s="343">
        <f t="shared" si="2"/>
        <v>10</v>
      </c>
      <c r="F22" s="344">
        <f t="shared" si="3"/>
        <v>47</v>
      </c>
      <c r="G22" s="345">
        <f t="shared" si="4"/>
        <v>44.320000000002153</v>
      </c>
      <c r="H22" s="346" t="str">
        <f t="shared" si="5"/>
        <v>-</v>
      </c>
      <c r="I22" s="344">
        <f t="shared" si="6"/>
        <v>59</v>
      </c>
      <c r="J22" s="347">
        <f t="shared" si="7"/>
        <v>52</v>
      </c>
      <c r="K22" s="348">
        <f t="shared" si="8"/>
        <v>30.900000000004297</v>
      </c>
      <c r="L22" s="308"/>
    </row>
    <row r="23" spans="1:14" x14ac:dyDescent="0.2">
      <c r="B23" s="340">
        <v>8</v>
      </c>
      <c r="C23" s="349">
        <v>162.74425000000002</v>
      </c>
      <c r="D23" s="350">
        <v>-59.957305555555557</v>
      </c>
      <c r="E23" s="343">
        <f t="shared" si="2"/>
        <v>10</v>
      </c>
      <c r="F23" s="344">
        <f t="shared" si="3"/>
        <v>50</v>
      </c>
      <c r="G23" s="345">
        <f t="shared" si="4"/>
        <v>58.620000000004069</v>
      </c>
      <c r="H23" s="346" t="str">
        <f t="shared" si="5"/>
        <v>-</v>
      </c>
      <c r="I23" s="344">
        <f t="shared" si="6"/>
        <v>59</v>
      </c>
      <c r="J23" s="347">
        <f t="shared" si="7"/>
        <v>57</v>
      </c>
      <c r="K23" s="348">
        <f t="shared" si="8"/>
        <v>26.30000000000507</v>
      </c>
      <c r="L23" s="308"/>
    </row>
    <row r="24" spans="1:14" x14ac:dyDescent="0.2">
      <c r="B24" s="340">
        <v>9</v>
      </c>
      <c r="C24" s="349">
        <v>162.83625000000001</v>
      </c>
      <c r="D24" s="350">
        <v>-59.74388888888889</v>
      </c>
      <c r="E24" s="343">
        <f t="shared" si="2"/>
        <v>10</v>
      </c>
      <c r="F24" s="344">
        <f t="shared" si="3"/>
        <v>51</v>
      </c>
      <c r="G24" s="345">
        <f t="shared" si="4"/>
        <v>20.700000000001637</v>
      </c>
      <c r="H24" s="346" t="str">
        <f t="shared" si="5"/>
        <v>-</v>
      </c>
      <c r="I24" s="344">
        <f t="shared" si="6"/>
        <v>59</v>
      </c>
      <c r="J24" s="347">
        <f t="shared" si="7"/>
        <v>44</v>
      </c>
      <c r="K24" s="348">
        <f t="shared" si="8"/>
        <v>38.000000000002956</v>
      </c>
    </row>
    <row r="25" spans="1:14" x14ac:dyDescent="0.2">
      <c r="B25" s="352">
        <v>10</v>
      </c>
      <c r="C25" s="353">
        <v>162.23008333333334</v>
      </c>
      <c r="D25" s="354">
        <v>-59.446777777777775</v>
      </c>
      <c r="E25" s="355">
        <f t="shared" si="2"/>
        <v>10</v>
      </c>
      <c r="F25" s="356">
        <f t="shared" si="3"/>
        <v>48</v>
      </c>
      <c r="G25" s="357">
        <f t="shared" si="4"/>
        <v>55.220000000004603</v>
      </c>
      <c r="H25" s="358" t="str">
        <f t="shared" si="5"/>
        <v>-</v>
      </c>
      <c r="I25" s="356">
        <f t="shared" si="6"/>
        <v>59</v>
      </c>
      <c r="J25" s="359">
        <f t="shared" si="7"/>
        <v>26</v>
      </c>
      <c r="K25" s="360">
        <f t="shared" si="8"/>
        <v>48.399999999991792</v>
      </c>
    </row>
    <row r="27" spans="1:14" ht="15.75" x14ac:dyDescent="0.25">
      <c r="A27" s="309" t="s">
        <v>137</v>
      </c>
      <c r="B27" s="361" t="s">
        <v>135</v>
      </c>
      <c r="C27" s="362"/>
      <c r="D27" s="362"/>
      <c r="E27" s="363" t="s">
        <v>136</v>
      </c>
      <c r="F27" s="364">
        <v>10</v>
      </c>
      <c r="G27" s="365"/>
      <c r="H27" s="361" t="s">
        <v>133</v>
      </c>
      <c r="I27" s="362"/>
      <c r="J27" s="362"/>
      <c r="K27" s="362"/>
      <c r="L27" s="362"/>
      <c r="M27" s="365"/>
      <c r="N27" s="366" t="s">
        <v>132</v>
      </c>
    </row>
    <row r="28" spans="1:14" ht="15.75" x14ac:dyDescent="0.25">
      <c r="A28" s="309" t="s">
        <v>138</v>
      </c>
      <c r="B28" s="367" t="s">
        <v>126</v>
      </c>
      <c r="C28" s="368" t="s">
        <v>127</v>
      </c>
      <c r="D28" s="368" t="s">
        <v>128</v>
      </c>
      <c r="E28" s="368" t="s">
        <v>129</v>
      </c>
      <c r="F28" s="368" t="s">
        <v>130</v>
      </c>
      <c r="G28" s="369" t="s">
        <v>131</v>
      </c>
      <c r="H28" s="370" t="s">
        <v>126</v>
      </c>
      <c r="I28" s="267" t="s">
        <v>127</v>
      </c>
      <c r="J28" s="267" t="s">
        <v>128</v>
      </c>
      <c r="K28" s="267" t="s">
        <v>129</v>
      </c>
      <c r="L28" s="267" t="s">
        <v>130</v>
      </c>
      <c r="M28" s="371" t="s">
        <v>131</v>
      </c>
      <c r="N28" s="372" t="s">
        <v>134</v>
      </c>
    </row>
    <row r="29" spans="1:14" x14ac:dyDescent="0.2">
      <c r="B29" s="373">
        <v>2014</v>
      </c>
      <c r="C29" s="374">
        <v>9</v>
      </c>
      <c r="D29" s="374">
        <v>8</v>
      </c>
      <c r="E29" s="374">
        <v>18</v>
      </c>
      <c r="F29" s="374">
        <v>54</v>
      </c>
      <c r="G29" s="374">
        <v>37</v>
      </c>
      <c r="H29" s="375">
        <f>YEAR(N29-2415018.5)</f>
        <v>2014</v>
      </c>
      <c r="I29" s="376">
        <f>MONTH(N29-2415018.5)</f>
        <v>9</v>
      </c>
      <c r="J29" s="376">
        <f>DAY(N29-2415018.5)</f>
        <v>8</v>
      </c>
      <c r="K29" s="376">
        <f>HOUR(N29-2415018.5)</f>
        <v>8</v>
      </c>
      <c r="L29" s="376">
        <f>MINUTE(N29-2415018.5)</f>
        <v>54</v>
      </c>
      <c r="M29" s="377">
        <f>SECOND(N29-2415018.5)</f>
        <v>37</v>
      </c>
      <c r="N29" s="378">
        <f>367*B29  - INT((7*(B29 + INT((C29+9)/12)))/4) + INT(275*C29/9) + D29 + 1721013.5 + (E29 + F29/60 + G29/3600)/24 -0.5*SIGN(100*B29+C29-190002.5) + 0.5 -$F$27/24</f>
        <v>2456908.8712615743</v>
      </c>
    </row>
    <row r="30" spans="1:14" x14ac:dyDescent="0.2">
      <c r="B30" s="373">
        <v>2014</v>
      </c>
      <c r="C30" s="374">
        <v>9</v>
      </c>
      <c r="D30" s="374">
        <v>8</v>
      </c>
      <c r="E30" s="374">
        <v>18</v>
      </c>
      <c r="F30" s="374">
        <v>55</v>
      </c>
      <c r="G30" s="374">
        <v>21</v>
      </c>
      <c r="H30" s="379">
        <f t="shared" ref="H30:H38" si="9">YEAR(N30-2415018.5)</f>
        <v>2014</v>
      </c>
      <c r="I30" s="328">
        <f t="shared" ref="I30:I38" si="10">MONTH(N30-2415018.5)</f>
        <v>9</v>
      </c>
      <c r="J30" s="328">
        <f t="shared" ref="J30:J38" si="11">DAY(N30-2415018.5)</f>
        <v>8</v>
      </c>
      <c r="K30" s="328">
        <f t="shared" ref="K30:K38" si="12">HOUR(N30-2415018.5)</f>
        <v>8</v>
      </c>
      <c r="L30" s="328">
        <f t="shared" ref="L30:L38" si="13">MINUTE(N30-2415018.5)</f>
        <v>55</v>
      </c>
      <c r="M30" s="380">
        <f t="shared" ref="M30:M38" si="14">SECOND(N30-2415018.5)</f>
        <v>21</v>
      </c>
      <c r="N30" s="378">
        <f t="shared" ref="N30:N38" si="15">367*B30  - INT((7*(B30 + INT((C30+9)/12)))/4) + INT(275*C30/9) + D30 + 1721013.5 + (E30 + F30/60 + G30/3600)/24 -0.5*SIGN(100*B30+C30-190002.5) + 0.5 -$F$27/24</f>
        <v>2456908.8717708336</v>
      </c>
    </row>
    <row r="31" spans="1:14" x14ac:dyDescent="0.2">
      <c r="B31" s="373">
        <v>2014</v>
      </c>
      <c r="C31" s="374">
        <v>9</v>
      </c>
      <c r="D31" s="374">
        <v>8</v>
      </c>
      <c r="E31" s="374">
        <v>18</v>
      </c>
      <c r="F31" s="374">
        <v>56</v>
      </c>
      <c r="G31" s="374">
        <v>5</v>
      </c>
      <c r="H31" s="379">
        <f t="shared" si="9"/>
        <v>2014</v>
      </c>
      <c r="I31" s="328">
        <f t="shared" si="10"/>
        <v>9</v>
      </c>
      <c r="J31" s="328">
        <f t="shared" si="11"/>
        <v>8</v>
      </c>
      <c r="K31" s="328">
        <f t="shared" si="12"/>
        <v>8</v>
      </c>
      <c r="L31" s="328">
        <f t="shared" si="13"/>
        <v>56</v>
      </c>
      <c r="M31" s="380">
        <f t="shared" si="14"/>
        <v>5</v>
      </c>
      <c r="N31" s="378">
        <f t="shared" si="15"/>
        <v>2456908.8722800929</v>
      </c>
    </row>
    <row r="32" spans="1:14" x14ac:dyDescent="0.2">
      <c r="B32" s="373">
        <v>2014</v>
      </c>
      <c r="C32" s="374">
        <v>9</v>
      </c>
      <c r="D32" s="374">
        <v>8</v>
      </c>
      <c r="E32" s="374">
        <v>18</v>
      </c>
      <c r="F32" s="374">
        <v>56</v>
      </c>
      <c r="G32" s="374">
        <v>49</v>
      </c>
      <c r="H32" s="379">
        <f t="shared" si="9"/>
        <v>2014</v>
      </c>
      <c r="I32" s="328">
        <f t="shared" si="10"/>
        <v>9</v>
      </c>
      <c r="J32" s="328">
        <f t="shared" si="11"/>
        <v>8</v>
      </c>
      <c r="K32" s="328">
        <f t="shared" si="12"/>
        <v>8</v>
      </c>
      <c r="L32" s="328">
        <f t="shared" si="13"/>
        <v>56</v>
      </c>
      <c r="M32" s="380">
        <f t="shared" si="14"/>
        <v>49</v>
      </c>
      <c r="N32" s="378">
        <f t="shared" si="15"/>
        <v>2456908.8727893522</v>
      </c>
    </row>
    <row r="33" spans="1:14" x14ac:dyDescent="0.2">
      <c r="B33" s="373">
        <v>2014</v>
      </c>
      <c r="C33" s="374">
        <v>9</v>
      </c>
      <c r="D33" s="374">
        <v>8</v>
      </c>
      <c r="E33" s="374">
        <v>18</v>
      </c>
      <c r="F33" s="374">
        <v>57</v>
      </c>
      <c r="G33" s="374">
        <v>34</v>
      </c>
      <c r="H33" s="379">
        <f>YEAR(N33-2415018.5)</f>
        <v>2014</v>
      </c>
      <c r="I33" s="328">
        <f t="shared" si="10"/>
        <v>9</v>
      </c>
      <c r="J33" s="328">
        <f t="shared" si="11"/>
        <v>8</v>
      </c>
      <c r="K33" s="328">
        <f t="shared" si="12"/>
        <v>8</v>
      </c>
      <c r="L33" s="328">
        <f t="shared" si="13"/>
        <v>57</v>
      </c>
      <c r="M33" s="380">
        <f t="shared" si="14"/>
        <v>34</v>
      </c>
      <c r="N33" s="378">
        <f>367*B33  - INT((7*(B33 + INT((C33+9)/12)))/4) + INT(275*C33/9) + D33 + 1721013.5 + (E33 + F33/60 + G33/3600)/24 -0.5*SIGN(100*B33+C33-190002.5) + 0.5 -$F$27/24</f>
        <v>2456908.8733101855</v>
      </c>
    </row>
    <row r="34" spans="1:14" x14ac:dyDescent="0.2">
      <c r="B34" s="373">
        <v>2014</v>
      </c>
      <c r="C34" s="374">
        <v>9</v>
      </c>
      <c r="D34" s="374">
        <v>8</v>
      </c>
      <c r="E34" s="374">
        <v>18</v>
      </c>
      <c r="F34" s="374">
        <v>58</v>
      </c>
      <c r="G34" s="374">
        <v>18</v>
      </c>
      <c r="H34" s="379">
        <f t="shared" si="9"/>
        <v>2014</v>
      </c>
      <c r="I34" s="328">
        <f t="shared" si="10"/>
        <v>9</v>
      </c>
      <c r="J34" s="328">
        <f t="shared" si="11"/>
        <v>8</v>
      </c>
      <c r="K34" s="328">
        <f t="shared" si="12"/>
        <v>8</v>
      </c>
      <c r="L34" s="328">
        <f t="shared" si="13"/>
        <v>58</v>
      </c>
      <c r="M34" s="380">
        <f t="shared" si="14"/>
        <v>18</v>
      </c>
      <c r="N34" s="378">
        <f>367*B34  - INT((7*(B34 + INT((C34+9)/12)))/4) + INT(275*C34/9) + D34 + 1721013.5 + (E34 + F34/60 + G34/3600)/24 -0.5*SIGN(100*B34+C34-190002.5) + 0.5 -$F$27/24</f>
        <v>2456908.8738194448</v>
      </c>
    </row>
    <row r="35" spans="1:14" x14ac:dyDescent="0.2">
      <c r="B35" s="373">
        <v>2014</v>
      </c>
      <c r="C35" s="374">
        <v>9</v>
      </c>
      <c r="D35" s="374">
        <v>8</v>
      </c>
      <c r="E35" s="374">
        <v>18</v>
      </c>
      <c r="F35" s="374">
        <v>59</v>
      </c>
      <c r="G35" s="374">
        <v>2</v>
      </c>
      <c r="H35" s="379">
        <f t="shared" si="9"/>
        <v>2014</v>
      </c>
      <c r="I35" s="328">
        <f t="shared" si="10"/>
        <v>9</v>
      </c>
      <c r="J35" s="328">
        <f t="shared" si="11"/>
        <v>8</v>
      </c>
      <c r="K35" s="328">
        <f t="shared" si="12"/>
        <v>8</v>
      </c>
      <c r="L35" s="328">
        <f t="shared" si="13"/>
        <v>59</v>
      </c>
      <c r="M35" s="380">
        <f t="shared" si="14"/>
        <v>2</v>
      </c>
      <c r="N35" s="378">
        <f t="shared" si="15"/>
        <v>2456908.8743287041</v>
      </c>
    </row>
    <row r="36" spans="1:14" x14ac:dyDescent="0.2">
      <c r="B36" s="373">
        <v>2014</v>
      </c>
      <c r="C36" s="374">
        <v>9</v>
      </c>
      <c r="D36" s="374">
        <v>8</v>
      </c>
      <c r="E36" s="374">
        <v>18</v>
      </c>
      <c r="F36" s="374">
        <v>59</v>
      </c>
      <c r="G36" s="374">
        <v>46</v>
      </c>
      <c r="H36" s="379">
        <f t="shared" si="9"/>
        <v>2014</v>
      </c>
      <c r="I36" s="328">
        <f t="shared" si="10"/>
        <v>9</v>
      </c>
      <c r="J36" s="328">
        <f t="shared" si="11"/>
        <v>8</v>
      </c>
      <c r="K36" s="328">
        <f t="shared" si="12"/>
        <v>8</v>
      </c>
      <c r="L36" s="328">
        <f t="shared" si="13"/>
        <v>59</v>
      </c>
      <c r="M36" s="380">
        <f t="shared" si="14"/>
        <v>46</v>
      </c>
      <c r="N36" s="378">
        <f t="shared" si="15"/>
        <v>2456908.8748379629</v>
      </c>
    </row>
    <row r="37" spans="1:14" x14ac:dyDescent="0.2">
      <c r="B37" s="373">
        <v>2014</v>
      </c>
      <c r="C37" s="374">
        <v>9</v>
      </c>
      <c r="D37" s="374">
        <v>8</v>
      </c>
      <c r="E37" s="374">
        <v>19</v>
      </c>
      <c r="F37" s="374">
        <v>0</v>
      </c>
      <c r="G37" s="374">
        <v>30</v>
      </c>
      <c r="H37" s="379">
        <f t="shared" si="9"/>
        <v>2014</v>
      </c>
      <c r="I37" s="328">
        <f t="shared" si="10"/>
        <v>9</v>
      </c>
      <c r="J37" s="328">
        <f t="shared" si="11"/>
        <v>8</v>
      </c>
      <c r="K37" s="328">
        <f t="shared" si="12"/>
        <v>9</v>
      </c>
      <c r="L37" s="328">
        <f t="shared" si="13"/>
        <v>0</v>
      </c>
      <c r="M37" s="380">
        <f t="shared" si="14"/>
        <v>30</v>
      </c>
      <c r="N37" s="378">
        <f t="shared" si="15"/>
        <v>2456908.8753472222</v>
      </c>
    </row>
    <row r="38" spans="1:14" x14ac:dyDescent="0.2">
      <c r="B38" s="381">
        <v>2014</v>
      </c>
      <c r="C38" s="382">
        <v>9</v>
      </c>
      <c r="D38" s="382">
        <v>8</v>
      </c>
      <c r="E38" s="382">
        <v>19</v>
      </c>
      <c r="F38" s="382">
        <v>1</v>
      </c>
      <c r="G38" s="382">
        <v>15</v>
      </c>
      <c r="H38" s="383">
        <f t="shared" si="9"/>
        <v>2014</v>
      </c>
      <c r="I38" s="384">
        <f t="shared" si="10"/>
        <v>9</v>
      </c>
      <c r="J38" s="384">
        <f t="shared" si="11"/>
        <v>8</v>
      </c>
      <c r="K38" s="384">
        <f t="shared" si="12"/>
        <v>9</v>
      </c>
      <c r="L38" s="384">
        <f t="shared" si="13"/>
        <v>1</v>
      </c>
      <c r="M38" s="385">
        <f t="shared" si="14"/>
        <v>15</v>
      </c>
      <c r="N38" s="386">
        <f t="shared" si="15"/>
        <v>2456908.8758680555</v>
      </c>
    </row>
    <row r="39" spans="1:14" x14ac:dyDescent="0.2">
      <c r="N39" s="387"/>
    </row>
    <row r="40" spans="1:14" ht="15.75" x14ac:dyDescent="0.25">
      <c r="A40" s="309" t="s">
        <v>140</v>
      </c>
      <c r="B40" s="361" t="s">
        <v>135</v>
      </c>
      <c r="C40" s="362"/>
      <c r="D40" s="362"/>
      <c r="E40" s="363" t="s">
        <v>136</v>
      </c>
      <c r="F40" s="364">
        <v>10</v>
      </c>
      <c r="G40" s="365"/>
      <c r="H40" s="361" t="s">
        <v>133</v>
      </c>
      <c r="I40" s="362"/>
      <c r="J40" s="362"/>
      <c r="K40" s="362"/>
      <c r="L40" s="362"/>
      <c r="M40" s="365"/>
      <c r="N40" s="388" t="s">
        <v>132</v>
      </c>
    </row>
    <row r="41" spans="1:14" ht="15.75" x14ac:dyDescent="0.25">
      <c r="A41" s="309" t="s">
        <v>139</v>
      </c>
      <c r="B41" s="367" t="s">
        <v>126</v>
      </c>
      <c r="C41" s="368" t="s">
        <v>127</v>
      </c>
      <c r="D41" s="368" t="s">
        <v>128</v>
      </c>
      <c r="E41" s="368" t="s">
        <v>129</v>
      </c>
      <c r="F41" s="368" t="s">
        <v>130</v>
      </c>
      <c r="G41" s="369" t="s">
        <v>131</v>
      </c>
      <c r="H41" s="367" t="s">
        <v>126</v>
      </c>
      <c r="I41" s="368" t="s">
        <v>127</v>
      </c>
      <c r="J41" s="368" t="s">
        <v>128</v>
      </c>
      <c r="K41" s="368" t="s">
        <v>129</v>
      </c>
      <c r="L41" s="368" t="s">
        <v>130</v>
      </c>
      <c r="M41" s="369" t="s">
        <v>131</v>
      </c>
      <c r="N41" s="389" t="s">
        <v>134</v>
      </c>
    </row>
    <row r="42" spans="1:14" x14ac:dyDescent="0.2">
      <c r="B42" s="375">
        <f>YEAR(N42+($F$40/24)-2415018.5)</f>
        <v>2014</v>
      </c>
      <c r="C42" s="376">
        <f>MONTH(N42+($F$40/24)-2415018.5)</f>
        <v>9</v>
      </c>
      <c r="D42" s="376">
        <f>DAY(N42+($F$40/24)-2415018.5)</f>
        <v>8</v>
      </c>
      <c r="E42" s="376">
        <f>HOUR(N42+($F$40/24)-2415018.5)</f>
        <v>18</v>
      </c>
      <c r="F42" s="376">
        <f>MINUTE(N42+($F$40/24)-2415018.5)</f>
        <v>54</v>
      </c>
      <c r="G42" s="377">
        <f>SECOND(N42+($F$40/24)-2415018.5)</f>
        <v>37</v>
      </c>
      <c r="H42" s="379">
        <f t="shared" ref="H42:H51" si="16">YEAR(N42-2415018.5)</f>
        <v>2014</v>
      </c>
      <c r="I42" s="328">
        <f t="shared" ref="I42:I51" si="17">MONTH(N42-2415018.5)</f>
        <v>9</v>
      </c>
      <c r="J42" s="328">
        <f t="shared" ref="J42:J51" si="18">DAY(N42-2415018.5)</f>
        <v>8</v>
      </c>
      <c r="K42" s="328">
        <f t="shared" ref="K42:K51" si="19">HOUR(N42-2415018.5)</f>
        <v>8</v>
      </c>
      <c r="L42" s="328">
        <f t="shared" ref="L42:L51" si="20">MINUTE(N42-2415018.5)</f>
        <v>54</v>
      </c>
      <c r="M42" s="328">
        <f t="shared" ref="M42:M51" si="21">SECOND(N42-2415018.5)</f>
        <v>37</v>
      </c>
      <c r="N42" s="390">
        <v>2456908.8712615743</v>
      </c>
    </row>
    <row r="43" spans="1:14" x14ac:dyDescent="0.2">
      <c r="B43" s="379">
        <f t="shared" ref="B43:B51" si="22">YEAR(N43+($F$40/24)-2415018.5)</f>
        <v>2014</v>
      </c>
      <c r="C43" s="328">
        <f t="shared" ref="C43:C51" si="23">MONTH(N43+($F$40/24)-2415018.5)</f>
        <v>9</v>
      </c>
      <c r="D43" s="328">
        <f t="shared" ref="D43:D51" si="24">DAY(N43+($F$40/24)-2415018.5)</f>
        <v>8</v>
      </c>
      <c r="E43" s="328">
        <f t="shared" ref="E43:E51" si="25">HOUR(N43+($F$40/24)-2415018.5)</f>
        <v>18</v>
      </c>
      <c r="F43" s="328">
        <f t="shared" ref="F43:F51" si="26">MINUTE(N43+($F$40/24)-2415018.5)</f>
        <v>55</v>
      </c>
      <c r="G43" s="380">
        <f t="shared" ref="G43:G51" si="27">SECOND(N43+($F$40/24)-2415018.5)</f>
        <v>21</v>
      </c>
      <c r="H43" s="379">
        <f t="shared" si="16"/>
        <v>2014</v>
      </c>
      <c r="I43" s="328">
        <f t="shared" si="17"/>
        <v>9</v>
      </c>
      <c r="J43" s="328">
        <f t="shared" si="18"/>
        <v>8</v>
      </c>
      <c r="K43" s="328">
        <f t="shared" si="19"/>
        <v>8</v>
      </c>
      <c r="L43" s="328">
        <f t="shared" si="20"/>
        <v>55</v>
      </c>
      <c r="M43" s="328">
        <f t="shared" si="21"/>
        <v>21</v>
      </c>
      <c r="N43" s="390">
        <v>2456908.8717708336</v>
      </c>
    </row>
    <row r="44" spans="1:14" x14ac:dyDescent="0.2">
      <c r="B44" s="379">
        <f t="shared" si="22"/>
        <v>2014</v>
      </c>
      <c r="C44" s="328">
        <f t="shared" si="23"/>
        <v>9</v>
      </c>
      <c r="D44" s="328">
        <f t="shared" si="24"/>
        <v>8</v>
      </c>
      <c r="E44" s="328">
        <f t="shared" si="25"/>
        <v>18</v>
      </c>
      <c r="F44" s="328">
        <f t="shared" si="26"/>
        <v>56</v>
      </c>
      <c r="G44" s="380">
        <f t="shared" si="27"/>
        <v>5</v>
      </c>
      <c r="H44" s="379">
        <f t="shared" si="16"/>
        <v>2014</v>
      </c>
      <c r="I44" s="328">
        <f t="shared" si="17"/>
        <v>9</v>
      </c>
      <c r="J44" s="328">
        <f t="shared" si="18"/>
        <v>8</v>
      </c>
      <c r="K44" s="328">
        <f t="shared" si="19"/>
        <v>8</v>
      </c>
      <c r="L44" s="328">
        <f t="shared" si="20"/>
        <v>56</v>
      </c>
      <c r="M44" s="328">
        <f t="shared" si="21"/>
        <v>5</v>
      </c>
      <c r="N44" s="390">
        <v>2456908.8722800929</v>
      </c>
    </row>
    <row r="45" spans="1:14" x14ac:dyDescent="0.2">
      <c r="B45" s="379">
        <f t="shared" si="22"/>
        <v>2014</v>
      </c>
      <c r="C45" s="328">
        <f t="shared" si="23"/>
        <v>9</v>
      </c>
      <c r="D45" s="328">
        <f t="shared" si="24"/>
        <v>8</v>
      </c>
      <c r="E45" s="328">
        <f t="shared" si="25"/>
        <v>18</v>
      </c>
      <c r="F45" s="328">
        <f t="shared" si="26"/>
        <v>56</v>
      </c>
      <c r="G45" s="380">
        <f t="shared" si="27"/>
        <v>49</v>
      </c>
      <c r="H45" s="379">
        <f t="shared" si="16"/>
        <v>2014</v>
      </c>
      <c r="I45" s="328">
        <f t="shared" si="17"/>
        <v>9</v>
      </c>
      <c r="J45" s="328">
        <f t="shared" si="18"/>
        <v>8</v>
      </c>
      <c r="K45" s="328">
        <f t="shared" si="19"/>
        <v>8</v>
      </c>
      <c r="L45" s="328">
        <f t="shared" si="20"/>
        <v>56</v>
      </c>
      <c r="M45" s="328">
        <f t="shared" si="21"/>
        <v>49</v>
      </c>
      <c r="N45" s="390">
        <v>2456908.8727893522</v>
      </c>
    </row>
    <row r="46" spans="1:14" x14ac:dyDescent="0.2">
      <c r="B46" s="379">
        <f t="shared" si="22"/>
        <v>2014</v>
      </c>
      <c r="C46" s="328">
        <f t="shared" si="23"/>
        <v>9</v>
      </c>
      <c r="D46" s="328">
        <f t="shared" si="24"/>
        <v>8</v>
      </c>
      <c r="E46" s="328">
        <f t="shared" si="25"/>
        <v>18</v>
      </c>
      <c r="F46" s="328">
        <f t="shared" si="26"/>
        <v>57</v>
      </c>
      <c r="G46" s="380">
        <f t="shared" si="27"/>
        <v>34</v>
      </c>
      <c r="H46" s="379">
        <f t="shared" si="16"/>
        <v>2014</v>
      </c>
      <c r="I46" s="328">
        <f t="shared" si="17"/>
        <v>9</v>
      </c>
      <c r="J46" s="328">
        <f t="shared" si="18"/>
        <v>8</v>
      </c>
      <c r="K46" s="328">
        <f t="shared" si="19"/>
        <v>8</v>
      </c>
      <c r="L46" s="328">
        <f t="shared" si="20"/>
        <v>57</v>
      </c>
      <c r="M46" s="328">
        <f t="shared" si="21"/>
        <v>34</v>
      </c>
      <c r="N46" s="390">
        <v>2456908.8733101855</v>
      </c>
    </row>
    <row r="47" spans="1:14" x14ac:dyDescent="0.2">
      <c r="B47" s="379">
        <f t="shared" si="22"/>
        <v>2014</v>
      </c>
      <c r="C47" s="328">
        <f t="shared" si="23"/>
        <v>9</v>
      </c>
      <c r="D47" s="328">
        <f t="shared" si="24"/>
        <v>8</v>
      </c>
      <c r="E47" s="328">
        <f t="shared" si="25"/>
        <v>18</v>
      </c>
      <c r="F47" s="328">
        <f t="shared" si="26"/>
        <v>58</v>
      </c>
      <c r="G47" s="380">
        <f t="shared" si="27"/>
        <v>18</v>
      </c>
      <c r="H47" s="379">
        <f t="shared" si="16"/>
        <v>2014</v>
      </c>
      <c r="I47" s="328">
        <f t="shared" si="17"/>
        <v>9</v>
      </c>
      <c r="J47" s="328">
        <f t="shared" si="18"/>
        <v>8</v>
      </c>
      <c r="K47" s="328">
        <f t="shared" si="19"/>
        <v>8</v>
      </c>
      <c r="L47" s="328">
        <f t="shared" si="20"/>
        <v>58</v>
      </c>
      <c r="M47" s="328">
        <f t="shared" si="21"/>
        <v>18</v>
      </c>
      <c r="N47" s="390">
        <v>2456908.8738194448</v>
      </c>
    </row>
    <row r="48" spans="1:14" x14ac:dyDescent="0.2">
      <c r="B48" s="379">
        <f t="shared" si="22"/>
        <v>2014</v>
      </c>
      <c r="C48" s="328">
        <f t="shared" si="23"/>
        <v>9</v>
      </c>
      <c r="D48" s="328">
        <f t="shared" si="24"/>
        <v>8</v>
      </c>
      <c r="E48" s="328">
        <f t="shared" si="25"/>
        <v>18</v>
      </c>
      <c r="F48" s="328">
        <f t="shared" si="26"/>
        <v>59</v>
      </c>
      <c r="G48" s="380">
        <f t="shared" si="27"/>
        <v>2</v>
      </c>
      <c r="H48" s="379">
        <f t="shared" si="16"/>
        <v>2014</v>
      </c>
      <c r="I48" s="328">
        <f t="shared" si="17"/>
        <v>9</v>
      </c>
      <c r="J48" s="328">
        <f t="shared" si="18"/>
        <v>8</v>
      </c>
      <c r="K48" s="328">
        <f t="shared" si="19"/>
        <v>8</v>
      </c>
      <c r="L48" s="328">
        <f t="shared" si="20"/>
        <v>59</v>
      </c>
      <c r="M48" s="328">
        <f t="shared" si="21"/>
        <v>2</v>
      </c>
      <c r="N48" s="390">
        <v>2456908.8743287041</v>
      </c>
    </row>
    <row r="49" spans="2:14" x14ac:dyDescent="0.2">
      <c r="B49" s="379">
        <f t="shared" si="22"/>
        <v>2014</v>
      </c>
      <c r="C49" s="328">
        <f t="shared" si="23"/>
        <v>9</v>
      </c>
      <c r="D49" s="328">
        <f t="shared" si="24"/>
        <v>8</v>
      </c>
      <c r="E49" s="328">
        <f t="shared" si="25"/>
        <v>18</v>
      </c>
      <c r="F49" s="328">
        <f t="shared" si="26"/>
        <v>59</v>
      </c>
      <c r="G49" s="380">
        <f t="shared" si="27"/>
        <v>46</v>
      </c>
      <c r="H49" s="379">
        <f t="shared" si="16"/>
        <v>2014</v>
      </c>
      <c r="I49" s="328">
        <f t="shared" si="17"/>
        <v>9</v>
      </c>
      <c r="J49" s="328">
        <f t="shared" si="18"/>
        <v>8</v>
      </c>
      <c r="K49" s="328">
        <f t="shared" si="19"/>
        <v>8</v>
      </c>
      <c r="L49" s="328">
        <f t="shared" si="20"/>
        <v>59</v>
      </c>
      <c r="M49" s="328">
        <f t="shared" si="21"/>
        <v>46</v>
      </c>
      <c r="N49" s="390">
        <v>2456908.8748379629</v>
      </c>
    </row>
    <row r="50" spans="2:14" x14ac:dyDescent="0.2">
      <c r="B50" s="379">
        <f t="shared" si="22"/>
        <v>2014</v>
      </c>
      <c r="C50" s="328">
        <f t="shared" si="23"/>
        <v>9</v>
      </c>
      <c r="D50" s="328">
        <f t="shared" si="24"/>
        <v>8</v>
      </c>
      <c r="E50" s="328">
        <f t="shared" si="25"/>
        <v>19</v>
      </c>
      <c r="F50" s="328">
        <f t="shared" si="26"/>
        <v>0</v>
      </c>
      <c r="G50" s="380">
        <f t="shared" si="27"/>
        <v>30</v>
      </c>
      <c r="H50" s="379">
        <f t="shared" si="16"/>
        <v>2014</v>
      </c>
      <c r="I50" s="328">
        <f t="shared" si="17"/>
        <v>9</v>
      </c>
      <c r="J50" s="328">
        <f t="shared" si="18"/>
        <v>8</v>
      </c>
      <c r="K50" s="328">
        <f t="shared" si="19"/>
        <v>9</v>
      </c>
      <c r="L50" s="328">
        <f t="shared" si="20"/>
        <v>0</v>
      </c>
      <c r="M50" s="328">
        <f t="shared" si="21"/>
        <v>30</v>
      </c>
      <c r="N50" s="390">
        <v>2456908.8753472222</v>
      </c>
    </row>
    <row r="51" spans="2:14" x14ac:dyDescent="0.2">
      <c r="B51" s="383">
        <f t="shared" si="22"/>
        <v>2014</v>
      </c>
      <c r="C51" s="384">
        <f t="shared" si="23"/>
        <v>9</v>
      </c>
      <c r="D51" s="384">
        <f t="shared" si="24"/>
        <v>8</v>
      </c>
      <c r="E51" s="384">
        <f t="shared" si="25"/>
        <v>19</v>
      </c>
      <c r="F51" s="384">
        <f t="shared" si="26"/>
        <v>1</v>
      </c>
      <c r="G51" s="385">
        <f t="shared" si="27"/>
        <v>15</v>
      </c>
      <c r="H51" s="383">
        <f t="shared" si="16"/>
        <v>2014</v>
      </c>
      <c r="I51" s="384">
        <f t="shared" si="17"/>
        <v>9</v>
      </c>
      <c r="J51" s="384">
        <f t="shared" si="18"/>
        <v>8</v>
      </c>
      <c r="K51" s="384">
        <f t="shared" si="19"/>
        <v>9</v>
      </c>
      <c r="L51" s="384">
        <f t="shared" si="20"/>
        <v>1</v>
      </c>
      <c r="M51" s="384">
        <f t="shared" si="21"/>
        <v>15</v>
      </c>
      <c r="N51" s="391">
        <v>2456908.8758680555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zoomScale="80" zoomScaleNormal="80" workbookViewId="0">
      <selection sqref="A1:XFD1048576"/>
    </sheetView>
  </sheetViews>
  <sheetFormatPr defaultRowHeight="12.75" x14ac:dyDescent="0.2"/>
  <cols>
    <col min="1" max="1" width="27.42578125" customWidth="1"/>
    <col min="2" max="2" width="14.7109375" customWidth="1"/>
    <col min="3" max="3" width="13.7109375" bestFit="1" customWidth="1"/>
    <col min="4" max="27" width="12.7109375" customWidth="1"/>
    <col min="29" max="29" width="12.7109375" bestFit="1" customWidth="1"/>
  </cols>
  <sheetData>
    <row r="1" spans="1:35" ht="47.25" x14ac:dyDescent="0.25">
      <c r="A1" s="258" t="s">
        <v>0</v>
      </c>
      <c r="B1" s="259"/>
      <c r="C1" s="258" t="s">
        <v>53</v>
      </c>
      <c r="D1" s="260" t="s">
        <v>52</v>
      </c>
      <c r="E1" s="261" t="s">
        <v>51</v>
      </c>
      <c r="F1" s="261" t="s">
        <v>63</v>
      </c>
      <c r="G1" s="260" t="s">
        <v>64</v>
      </c>
      <c r="H1" s="260" t="s">
        <v>65</v>
      </c>
      <c r="I1" s="260" t="s">
        <v>66</v>
      </c>
      <c r="J1" s="262" t="s">
        <v>67</v>
      </c>
      <c r="K1" s="263" t="s">
        <v>68</v>
      </c>
    </row>
    <row r="2" spans="1:35" x14ac:dyDescent="0.2">
      <c r="A2" s="159" t="s">
        <v>1</v>
      </c>
      <c r="B2" s="214" t="s">
        <v>46</v>
      </c>
      <c r="C2" s="169" t="s">
        <v>54</v>
      </c>
      <c r="D2" s="276" t="s">
        <v>97</v>
      </c>
      <c r="E2" s="277" t="s">
        <v>98</v>
      </c>
      <c r="F2" s="277" t="s">
        <v>99</v>
      </c>
      <c r="G2" s="278" t="s">
        <v>100</v>
      </c>
      <c r="H2" s="278" t="s">
        <v>101</v>
      </c>
      <c r="I2" s="278" t="s">
        <v>102</v>
      </c>
      <c r="J2" s="278" t="s">
        <v>103</v>
      </c>
      <c r="K2" s="279" t="s">
        <v>104</v>
      </c>
    </row>
    <row r="3" spans="1:35" x14ac:dyDescent="0.2">
      <c r="A3" s="61" t="s">
        <v>76</v>
      </c>
      <c r="B3" s="255">
        <v>10</v>
      </c>
      <c r="C3" s="169" t="s">
        <v>11</v>
      </c>
      <c r="D3" s="280">
        <v>292.33900000000006</v>
      </c>
      <c r="E3" s="197">
        <v>292.71999999999997</v>
      </c>
      <c r="F3" s="197">
        <v>293.87412499999999</v>
      </c>
      <c r="G3" s="197">
        <v>292.67474999999996</v>
      </c>
      <c r="H3" s="197">
        <v>290.58670833333338</v>
      </c>
      <c r="I3" s="197">
        <v>290.76849999999996</v>
      </c>
      <c r="J3" s="197">
        <v>291.01391666666666</v>
      </c>
      <c r="K3" s="198">
        <v>291.96716666666663</v>
      </c>
    </row>
    <row r="4" spans="1:35" ht="25.5" x14ac:dyDescent="0.2">
      <c r="A4" s="61" t="s">
        <v>2</v>
      </c>
      <c r="B4" s="252" t="s">
        <v>3</v>
      </c>
      <c r="C4" s="256" t="s">
        <v>12</v>
      </c>
      <c r="D4" s="280">
        <v>-7.0440555555555555</v>
      </c>
      <c r="E4" s="197">
        <v>-6.5140833333333337</v>
      </c>
      <c r="F4" s="197">
        <v>-7.4601944444444444</v>
      </c>
      <c r="G4" s="197">
        <v>-8.186472222222223</v>
      </c>
      <c r="H4" s="197">
        <v>-8.2010277777777763</v>
      </c>
      <c r="I4" s="197">
        <v>-7.400555555555556</v>
      </c>
      <c r="J4" s="197">
        <v>-6.9773055555555556</v>
      </c>
      <c r="K4" s="198">
        <v>-4.8177777777777777</v>
      </c>
    </row>
    <row r="5" spans="1:35" x14ac:dyDescent="0.2">
      <c r="A5" s="61" t="s">
        <v>7</v>
      </c>
      <c r="B5" s="203">
        <v>-33.891109999999998</v>
      </c>
      <c r="C5" s="256" t="s">
        <v>13</v>
      </c>
      <c r="D5" s="281"/>
      <c r="E5" s="197">
        <v>7.27</v>
      </c>
      <c r="F5" s="197">
        <v>6.3280000000000003</v>
      </c>
      <c r="G5" s="197">
        <v>7.4779999999999998</v>
      </c>
      <c r="H5" s="197">
        <v>6.6669999999999998</v>
      </c>
      <c r="I5" s="197">
        <v>6.31</v>
      </c>
      <c r="J5" s="197">
        <v>7.4379999999999997</v>
      </c>
      <c r="K5" s="198">
        <v>7.383</v>
      </c>
    </row>
    <row r="6" spans="1:35" x14ac:dyDescent="0.2">
      <c r="A6" s="61" t="s">
        <v>8</v>
      </c>
      <c r="B6" s="203">
        <v>151</v>
      </c>
      <c r="C6" s="256" t="s">
        <v>14</v>
      </c>
      <c r="D6" s="280">
        <v>1.1000000000000001</v>
      </c>
      <c r="E6" s="197">
        <v>0.64700000000000002</v>
      </c>
      <c r="F6" s="197">
        <v>1.1100000000000001</v>
      </c>
      <c r="G6" s="197">
        <v>8.2000000000000003E-2</v>
      </c>
      <c r="H6" s="197">
        <v>-5.5E-2</v>
      </c>
      <c r="I6" s="197">
        <v>1.452</v>
      </c>
      <c r="J6" s="197">
        <v>0.312</v>
      </c>
      <c r="K6" s="198">
        <v>1.3120000000000001</v>
      </c>
    </row>
    <row r="7" spans="1:35" x14ac:dyDescent="0.2">
      <c r="A7" s="64"/>
      <c r="B7" s="212"/>
      <c r="C7" s="257" t="s">
        <v>89</v>
      </c>
      <c r="D7" s="282">
        <v>0.65300000000000002</v>
      </c>
      <c r="E7" s="199">
        <v>0.35799999999999998</v>
      </c>
      <c r="F7" s="199">
        <v>0.61599999999999999</v>
      </c>
      <c r="G7" s="199">
        <v>0.05</v>
      </c>
      <c r="H7" s="199">
        <v>-1.6E-2</v>
      </c>
      <c r="I7" s="199">
        <v>0.64100000000000001</v>
      </c>
      <c r="J7" s="199">
        <v>0.182</v>
      </c>
      <c r="K7" s="200">
        <v>0.749</v>
      </c>
    </row>
    <row r="8" spans="1:35" s="202" customFormat="1" x14ac:dyDescent="0.2">
      <c r="A8" s="12"/>
      <c r="B8" s="201"/>
      <c r="C8" s="176"/>
      <c r="D8" s="37"/>
      <c r="E8" s="37"/>
      <c r="F8" s="37"/>
      <c r="G8" s="37"/>
      <c r="H8" s="37"/>
      <c r="I8" s="37"/>
      <c r="J8" s="37"/>
      <c r="K8" s="37"/>
    </row>
    <row r="9" spans="1:35" ht="31.5" x14ac:dyDescent="0.25">
      <c r="A9" s="148" t="s">
        <v>55</v>
      </c>
      <c r="B9" s="67" t="s">
        <v>48</v>
      </c>
      <c r="C9" s="50"/>
      <c r="D9" s="50"/>
      <c r="E9" s="51"/>
      <c r="F9" s="51"/>
      <c r="G9" s="52" t="s">
        <v>86</v>
      </c>
      <c r="H9" s="51"/>
      <c r="I9" s="51"/>
      <c r="J9" s="51"/>
      <c r="K9" s="38"/>
      <c r="L9" s="51"/>
      <c r="M9" s="51"/>
      <c r="N9" s="51"/>
      <c r="O9" s="52" t="s">
        <v>88</v>
      </c>
      <c r="P9" s="51"/>
      <c r="Q9" s="51"/>
      <c r="R9" s="51"/>
      <c r="S9" s="51"/>
      <c r="T9" s="50"/>
      <c r="U9" s="51"/>
      <c r="V9" s="51"/>
      <c r="W9" s="52" t="s">
        <v>87</v>
      </c>
      <c r="X9" s="51"/>
      <c r="Y9" s="51"/>
      <c r="Z9" s="51"/>
      <c r="AA9" s="38"/>
      <c r="AD9" s="284" t="s">
        <v>142</v>
      </c>
      <c r="AE9" s="283">
        <v>3.6999999999999998E-2</v>
      </c>
    </row>
    <row r="10" spans="1:35" x14ac:dyDescent="0.2">
      <c r="A10" s="112"/>
      <c r="B10" s="105" t="s">
        <v>73</v>
      </c>
      <c r="C10" s="64" t="s">
        <v>37</v>
      </c>
      <c r="D10" s="64" t="s">
        <v>52</v>
      </c>
      <c r="E10" s="106" t="s">
        <v>51</v>
      </c>
      <c r="F10" s="104" t="s">
        <v>63</v>
      </c>
      <c r="G10" s="106" t="s">
        <v>64</v>
      </c>
      <c r="H10" s="106" t="s">
        <v>65</v>
      </c>
      <c r="I10" s="106" t="s">
        <v>66</v>
      </c>
      <c r="J10" s="93" t="s">
        <v>67</v>
      </c>
      <c r="K10" s="105" t="s">
        <v>68</v>
      </c>
      <c r="L10" s="106" t="s">
        <v>52</v>
      </c>
      <c r="M10" s="106" t="s">
        <v>51</v>
      </c>
      <c r="N10" s="104" t="s">
        <v>63</v>
      </c>
      <c r="O10" s="106" t="s">
        <v>64</v>
      </c>
      <c r="P10" s="106" t="s">
        <v>65</v>
      </c>
      <c r="Q10" s="106" t="s">
        <v>66</v>
      </c>
      <c r="R10" s="93" t="s">
        <v>67</v>
      </c>
      <c r="S10" s="106" t="s">
        <v>68</v>
      </c>
      <c r="T10" s="64" t="s">
        <v>52</v>
      </c>
      <c r="U10" s="106" t="s">
        <v>51</v>
      </c>
      <c r="V10" s="104" t="s">
        <v>63</v>
      </c>
      <c r="W10" s="106" t="s">
        <v>64</v>
      </c>
      <c r="X10" s="106" t="s">
        <v>65</v>
      </c>
      <c r="Y10" s="106" t="s">
        <v>66</v>
      </c>
      <c r="Z10" s="93" t="s">
        <v>67</v>
      </c>
      <c r="AA10" s="105" t="s">
        <v>68</v>
      </c>
      <c r="AD10" s="58" t="s">
        <v>148</v>
      </c>
      <c r="AE10" s="52" t="s">
        <v>149</v>
      </c>
      <c r="AF10" s="58" t="s">
        <v>148</v>
      </c>
      <c r="AG10" s="67" t="s">
        <v>149</v>
      </c>
      <c r="AH10" s="52" t="s">
        <v>148</v>
      </c>
      <c r="AI10" s="67" t="s">
        <v>149</v>
      </c>
    </row>
    <row r="11" spans="1:35" x14ac:dyDescent="0.2">
      <c r="A11" s="86" t="s">
        <v>125</v>
      </c>
      <c r="B11" s="102">
        <v>1</v>
      </c>
      <c r="C11" s="191">
        <v>2456883.3972381302</v>
      </c>
      <c r="D11" s="192">
        <v>13.782</v>
      </c>
      <c r="E11" s="192">
        <v>14.054</v>
      </c>
      <c r="F11" s="192">
        <v>13.432</v>
      </c>
      <c r="G11" s="192">
        <v>13.901999999999999</v>
      </c>
      <c r="H11" s="192">
        <v>13.112</v>
      </c>
      <c r="I11" s="192">
        <v>13.634</v>
      </c>
      <c r="J11" s="197">
        <v>14.03</v>
      </c>
      <c r="K11" s="193">
        <v>14.646000000000001</v>
      </c>
      <c r="L11" s="192">
        <v>13.149000000000001</v>
      </c>
      <c r="M11" s="192">
        <v>13.736000000000001</v>
      </c>
      <c r="N11" s="192">
        <v>12.856</v>
      </c>
      <c r="O11" s="192">
        <v>13.88</v>
      </c>
      <c r="P11" s="192">
        <v>13.029499999999999</v>
      </c>
      <c r="Q11" s="192">
        <v>12.8825</v>
      </c>
      <c r="R11" s="197">
        <v>13.861499999999999</v>
      </c>
      <c r="S11" s="193">
        <v>13.938499999999999</v>
      </c>
      <c r="T11" s="192">
        <v>13.888999999999999</v>
      </c>
      <c r="U11" s="192">
        <v>14.744</v>
      </c>
      <c r="V11" s="192">
        <v>13.651999999999999</v>
      </c>
      <c r="W11" s="192">
        <v>15.095000000000001</v>
      </c>
      <c r="X11" s="192">
        <v>14.178000000000001</v>
      </c>
      <c r="Y11" s="192">
        <v>13.537000000000001</v>
      </c>
      <c r="Z11" s="197">
        <v>14.967000000000001</v>
      </c>
      <c r="AA11" s="193">
        <v>14.606</v>
      </c>
      <c r="AD11" s="64" t="s">
        <v>143</v>
      </c>
      <c r="AE11" s="106" t="s">
        <v>143</v>
      </c>
      <c r="AF11" s="64" t="s">
        <v>150</v>
      </c>
      <c r="AG11" s="105" t="s">
        <v>150</v>
      </c>
      <c r="AH11" s="106" t="s">
        <v>144</v>
      </c>
      <c r="AI11" s="105" t="s">
        <v>144</v>
      </c>
    </row>
    <row r="12" spans="1:35" x14ac:dyDescent="0.2">
      <c r="A12" s="86"/>
      <c r="B12" s="102">
        <v>2</v>
      </c>
      <c r="C12" s="191">
        <v>2456883.3975853501</v>
      </c>
      <c r="D12" s="192">
        <v>13.807</v>
      </c>
      <c r="E12" s="192">
        <v>14.118</v>
      </c>
      <c r="F12" s="192">
        <v>13.462999999999999</v>
      </c>
      <c r="G12" s="192">
        <v>13.954000000000001</v>
      </c>
      <c r="H12" s="192">
        <v>13.093999999999999</v>
      </c>
      <c r="I12" s="192">
        <v>13.64</v>
      </c>
      <c r="J12" s="192">
        <v>14.029</v>
      </c>
      <c r="K12" s="193">
        <v>14.698</v>
      </c>
      <c r="L12" s="192">
        <v>13.1435</v>
      </c>
      <c r="M12" s="192">
        <v>13.753499999999999</v>
      </c>
      <c r="N12" s="192">
        <v>12.847000000000001</v>
      </c>
      <c r="O12" s="192">
        <v>13.883500000000002</v>
      </c>
      <c r="P12" s="192">
        <v>13.030000000000001</v>
      </c>
      <c r="Q12" s="192">
        <v>12.8795</v>
      </c>
      <c r="R12" s="192">
        <v>13.8795</v>
      </c>
      <c r="S12" s="193">
        <v>13.9635</v>
      </c>
      <c r="T12" s="192">
        <v>13.798</v>
      </c>
      <c r="U12" s="192">
        <v>14.722</v>
      </c>
      <c r="V12" s="192">
        <v>13.613</v>
      </c>
      <c r="W12" s="192">
        <v>15.07</v>
      </c>
      <c r="X12" s="192">
        <v>14.19</v>
      </c>
      <c r="Y12" s="192">
        <v>13.47</v>
      </c>
      <c r="Z12" s="192">
        <v>14.981999999999999</v>
      </c>
      <c r="AA12" s="193">
        <v>14.534000000000001</v>
      </c>
      <c r="AC12" s="284" t="s">
        <v>145</v>
      </c>
      <c r="AD12" s="288">
        <v>6.6676416666666665</v>
      </c>
      <c r="AE12" s="287">
        <v>7.268791666666667</v>
      </c>
      <c r="AF12" s="288">
        <v>7.6128166666666655</v>
      </c>
      <c r="AG12" s="188">
        <v>7.9383166666666671</v>
      </c>
      <c r="AH12" s="287">
        <v>6.0918833333333327</v>
      </c>
      <c r="AI12" s="188">
        <v>6.9283833333333336</v>
      </c>
    </row>
    <row r="13" spans="1:35" x14ac:dyDescent="0.2">
      <c r="A13" s="86"/>
      <c r="B13" s="102">
        <v>3</v>
      </c>
      <c r="C13" s="191">
        <v>2456883.39794415</v>
      </c>
      <c r="D13" s="192">
        <v>13.827999999999999</v>
      </c>
      <c r="E13" s="192">
        <v>14.13</v>
      </c>
      <c r="F13" s="192">
        <v>13.516</v>
      </c>
      <c r="G13" s="192">
        <v>14.010999999999999</v>
      </c>
      <c r="H13" s="192">
        <v>13.048999999999999</v>
      </c>
      <c r="I13" s="192">
        <v>13.656000000000001</v>
      </c>
      <c r="J13" s="192">
        <v>14.012</v>
      </c>
      <c r="K13" s="193">
        <v>14.728999999999999</v>
      </c>
      <c r="L13" s="192">
        <v>13.138000000000002</v>
      </c>
      <c r="M13" s="192">
        <v>13.748999999999999</v>
      </c>
      <c r="N13" s="192">
        <v>12.847000000000001</v>
      </c>
      <c r="O13" s="192">
        <v>13.874000000000001</v>
      </c>
      <c r="P13" s="192">
        <v>13.037500000000001</v>
      </c>
      <c r="Q13" s="192">
        <v>12.870000000000001</v>
      </c>
      <c r="R13" s="192">
        <v>13.859500000000001</v>
      </c>
      <c r="S13" s="193">
        <v>13.9535</v>
      </c>
      <c r="T13" s="192">
        <v>13.741</v>
      </c>
      <c r="U13" s="192">
        <v>14.65</v>
      </c>
      <c r="V13" s="192">
        <v>13.528</v>
      </c>
      <c r="W13" s="192">
        <v>15.048999999999999</v>
      </c>
      <c r="X13" s="192">
        <v>14.21</v>
      </c>
      <c r="Y13" s="192">
        <v>13.401999999999999</v>
      </c>
      <c r="Z13" s="192">
        <v>14.962</v>
      </c>
      <c r="AA13" s="193">
        <v>14.506</v>
      </c>
      <c r="AC13" s="284" t="s">
        <v>146</v>
      </c>
      <c r="AD13" s="288">
        <v>6.6053546966425687</v>
      </c>
      <c r="AE13" s="287">
        <v>7.2761365142184946</v>
      </c>
      <c r="AF13" s="288">
        <v>7.7763886673129914</v>
      </c>
      <c r="AG13" s="188">
        <v>7.9190283402634138</v>
      </c>
      <c r="AH13" s="287">
        <v>5.9951296543560284</v>
      </c>
      <c r="AI13" s="188">
        <v>6.9397924775233886</v>
      </c>
    </row>
    <row r="14" spans="1:35" x14ac:dyDescent="0.2">
      <c r="A14" s="86"/>
      <c r="B14" s="102">
        <v>4</v>
      </c>
      <c r="C14" s="191">
        <v>2456883.3982913699</v>
      </c>
      <c r="D14" s="192">
        <v>13.776999999999999</v>
      </c>
      <c r="E14" s="192">
        <v>14.125</v>
      </c>
      <c r="F14" s="192">
        <v>13.523999999999999</v>
      </c>
      <c r="G14" s="192">
        <v>14.026</v>
      </c>
      <c r="H14" s="192">
        <v>13</v>
      </c>
      <c r="I14" s="192">
        <v>13.657</v>
      </c>
      <c r="J14" s="192">
        <v>14.025</v>
      </c>
      <c r="K14" s="193">
        <v>14.691000000000001</v>
      </c>
      <c r="L14" s="192">
        <v>13.1205</v>
      </c>
      <c r="M14" s="192">
        <v>13.727</v>
      </c>
      <c r="N14" s="192">
        <v>12.847000000000001</v>
      </c>
      <c r="O14" s="192">
        <v>13.879999999999999</v>
      </c>
      <c r="P14" s="192">
        <v>13.018000000000001</v>
      </c>
      <c r="Q14" s="192">
        <v>12.865</v>
      </c>
      <c r="R14" s="192">
        <v>13.871499999999999</v>
      </c>
      <c r="S14" s="193">
        <v>13.958</v>
      </c>
      <c r="T14" s="192">
        <v>13.718</v>
      </c>
      <c r="U14" s="192">
        <v>14.59</v>
      </c>
      <c r="V14" s="192">
        <v>13.49</v>
      </c>
      <c r="W14" s="192">
        <v>14.96</v>
      </c>
      <c r="X14" s="192">
        <v>14.231999999999999</v>
      </c>
      <c r="Y14" s="192">
        <v>13.377000000000001</v>
      </c>
      <c r="Z14" s="192">
        <v>14.977</v>
      </c>
      <c r="AA14" s="193">
        <v>14.518000000000001</v>
      </c>
      <c r="AC14" s="284" t="s">
        <v>147</v>
      </c>
      <c r="AD14" s="289">
        <v>6.6088935425345792</v>
      </c>
      <c r="AE14" s="291">
        <v>7.2685417703437478</v>
      </c>
      <c r="AF14" s="289">
        <v>7.7851173240967766</v>
      </c>
      <c r="AG14" s="290">
        <v>7.9002957040689328</v>
      </c>
      <c r="AH14" s="291">
        <v>6.0162982620774681</v>
      </c>
      <c r="AI14" s="290">
        <v>6.894362368743522</v>
      </c>
    </row>
    <row r="15" spans="1:35" x14ac:dyDescent="0.2">
      <c r="A15" s="86"/>
      <c r="B15" s="102">
        <v>5</v>
      </c>
      <c r="C15" s="191">
        <v>2456883.3986385898</v>
      </c>
      <c r="D15" s="192">
        <v>13.826000000000001</v>
      </c>
      <c r="E15" s="192">
        <v>14.154999999999999</v>
      </c>
      <c r="F15" s="192">
        <v>13.509</v>
      </c>
      <c r="G15" s="192">
        <v>14.028</v>
      </c>
      <c r="H15" s="192">
        <v>12.978</v>
      </c>
      <c r="I15" s="192">
        <v>13.654999999999999</v>
      </c>
      <c r="J15" s="192">
        <v>14.013999999999999</v>
      </c>
      <c r="K15" s="193">
        <v>14.702999999999999</v>
      </c>
      <c r="L15" s="192">
        <v>13.1465</v>
      </c>
      <c r="M15" s="192">
        <v>13.737</v>
      </c>
      <c r="N15" s="192">
        <v>12.835000000000001</v>
      </c>
      <c r="O15" s="192">
        <v>13.862</v>
      </c>
      <c r="P15" s="192">
        <v>13.025500000000001</v>
      </c>
      <c r="Q15" s="192">
        <v>12.8765</v>
      </c>
      <c r="R15" s="192">
        <v>13.864999999999998</v>
      </c>
      <c r="S15" s="193">
        <v>13.945499999999999</v>
      </c>
      <c r="T15" s="192">
        <v>13.724</v>
      </c>
      <c r="U15" s="192">
        <v>14.587999999999999</v>
      </c>
      <c r="V15" s="192">
        <v>13.481</v>
      </c>
      <c r="W15" s="192">
        <v>14.916</v>
      </c>
      <c r="X15" s="192">
        <v>14.268000000000001</v>
      </c>
      <c r="Y15" s="192">
        <v>13.375</v>
      </c>
      <c r="Z15" s="192">
        <v>14.956</v>
      </c>
      <c r="AA15" s="193">
        <v>14.519</v>
      </c>
      <c r="AC15" s="284" t="s">
        <v>151</v>
      </c>
      <c r="AD15" s="292">
        <f t="shared" ref="AD15:AI15" si="0">AD12-AD13</f>
        <v>6.2286970024097776E-2</v>
      </c>
      <c r="AE15" s="293">
        <f t="shared" si="0"/>
        <v>-7.3448475518276268E-3</v>
      </c>
      <c r="AF15" s="292">
        <f t="shared" si="0"/>
        <v>-0.16357200064632593</v>
      </c>
      <c r="AG15" s="294">
        <f t="shared" si="0"/>
        <v>1.9288326403253286E-2</v>
      </c>
      <c r="AH15" s="293">
        <f t="shared" si="0"/>
        <v>9.6753678977304247E-2</v>
      </c>
      <c r="AI15" s="294">
        <f t="shared" si="0"/>
        <v>-1.1409144190055009E-2</v>
      </c>
    </row>
    <row r="16" spans="1:35" x14ac:dyDescent="0.2">
      <c r="A16" s="86"/>
      <c r="B16" s="102">
        <v>6</v>
      </c>
      <c r="C16" s="191">
        <v>2456883.3989973902</v>
      </c>
      <c r="D16" s="192">
        <v>13.789</v>
      </c>
      <c r="E16" s="192">
        <v>14.147</v>
      </c>
      <c r="F16" s="192">
        <v>13.448</v>
      </c>
      <c r="G16" s="192">
        <v>14.048999999999999</v>
      </c>
      <c r="H16" s="192">
        <v>12.978999999999999</v>
      </c>
      <c r="I16" s="192">
        <v>13.632999999999999</v>
      </c>
      <c r="J16" s="192">
        <v>14.089</v>
      </c>
      <c r="K16" s="193">
        <v>14.721</v>
      </c>
      <c r="L16" s="192">
        <v>13.132</v>
      </c>
      <c r="M16" s="192">
        <v>13.750500000000001</v>
      </c>
      <c r="N16" s="192">
        <v>12.8535</v>
      </c>
      <c r="O16" s="192">
        <v>13.882</v>
      </c>
      <c r="P16" s="192">
        <v>13.0145</v>
      </c>
      <c r="Q16" s="192">
        <v>12.875</v>
      </c>
      <c r="R16" s="192">
        <v>13.870999999999999</v>
      </c>
      <c r="S16" s="193">
        <v>13.943999999999999</v>
      </c>
      <c r="T16" s="192">
        <v>13.8</v>
      </c>
      <c r="U16" s="192">
        <v>14.589</v>
      </c>
      <c r="V16" s="192">
        <v>13.52</v>
      </c>
      <c r="W16" s="192">
        <v>14.895</v>
      </c>
      <c r="X16" s="192">
        <v>14.271000000000001</v>
      </c>
      <c r="Y16" s="192">
        <v>13.417</v>
      </c>
      <c r="Z16" s="192">
        <v>14.898</v>
      </c>
      <c r="AA16" s="193">
        <v>14.526999999999999</v>
      </c>
      <c r="AC16" s="12" t="s">
        <v>155</v>
      </c>
      <c r="AD16" s="179">
        <f>AD13-AD14</f>
        <v>-3.5388458920104782E-3</v>
      </c>
      <c r="AE16" s="295">
        <f t="shared" ref="AE16:AH16" si="1">AE13-AE14</f>
        <v>7.5947438747467899E-3</v>
      </c>
      <c r="AF16" s="179">
        <f t="shared" si="1"/>
        <v>-8.7286567837852047E-3</v>
      </c>
      <c r="AG16" s="180">
        <f t="shared" si="1"/>
        <v>1.8732636194481067E-2</v>
      </c>
      <c r="AH16" s="295">
        <f t="shared" si="1"/>
        <v>-2.1168607721439692E-2</v>
      </c>
      <c r="AI16" s="180">
        <f>AI13-AI14</f>
        <v>4.5430108779866529E-2</v>
      </c>
    </row>
    <row r="17" spans="1:36" x14ac:dyDescent="0.2">
      <c r="A17" s="86"/>
      <c r="B17" s="102">
        <v>7</v>
      </c>
      <c r="C17" s="191">
        <v>2456883.3993446101</v>
      </c>
      <c r="D17" s="192">
        <v>13.779</v>
      </c>
      <c r="E17" s="192">
        <v>14.14</v>
      </c>
      <c r="F17" s="192">
        <v>13.459</v>
      </c>
      <c r="G17" s="192">
        <v>14.000999999999999</v>
      </c>
      <c r="H17" s="192">
        <v>12.981</v>
      </c>
      <c r="I17" s="192">
        <v>13.635</v>
      </c>
      <c r="J17" s="192">
        <v>14.097</v>
      </c>
      <c r="K17" s="193">
        <v>14.704000000000001</v>
      </c>
      <c r="L17" s="192">
        <v>13.141</v>
      </c>
      <c r="M17" s="192">
        <v>13.737</v>
      </c>
      <c r="N17" s="192">
        <v>12.843999999999999</v>
      </c>
      <c r="O17" s="192">
        <v>13.844000000000001</v>
      </c>
      <c r="P17" s="192">
        <v>13.033999999999999</v>
      </c>
      <c r="Q17" s="192">
        <v>12.86</v>
      </c>
      <c r="R17" s="192">
        <v>13.870000000000001</v>
      </c>
      <c r="S17" s="193">
        <v>13.934000000000001</v>
      </c>
      <c r="T17" s="192">
        <v>13.804</v>
      </c>
      <c r="U17" s="192">
        <v>14.583</v>
      </c>
      <c r="V17" s="192">
        <v>13.509</v>
      </c>
      <c r="W17" s="192">
        <v>14.938000000000001</v>
      </c>
      <c r="X17" s="192">
        <v>14.289</v>
      </c>
      <c r="Y17" s="192">
        <v>13.401999999999999</v>
      </c>
      <c r="Z17" s="192">
        <v>14.863</v>
      </c>
      <c r="AA17" s="193">
        <v>14.526</v>
      </c>
      <c r="AF17" s="285">
        <f>AF12-AD12</f>
        <v>0.94517499999999899</v>
      </c>
      <c r="AH17" s="285">
        <f>AH12-AD12</f>
        <v>-0.57575833333333382</v>
      </c>
    </row>
    <row r="18" spans="1:36" x14ac:dyDescent="0.2">
      <c r="A18" s="86"/>
      <c r="B18" s="102">
        <v>8</v>
      </c>
      <c r="C18" s="191">
        <v>2456883.39970341</v>
      </c>
      <c r="D18" s="192">
        <v>13.776999999999999</v>
      </c>
      <c r="E18" s="192">
        <v>14.101000000000001</v>
      </c>
      <c r="F18" s="192">
        <v>13.456</v>
      </c>
      <c r="G18" s="192">
        <v>13.996</v>
      </c>
      <c r="H18" s="192">
        <v>12.991</v>
      </c>
      <c r="I18" s="192">
        <v>13.631</v>
      </c>
      <c r="J18" s="192">
        <v>14.081</v>
      </c>
      <c r="K18" s="193">
        <v>14.701000000000001</v>
      </c>
      <c r="L18" s="192">
        <v>13.1435</v>
      </c>
      <c r="M18" s="192">
        <v>13.7285</v>
      </c>
      <c r="N18" s="192">
        <v>12.846500000000001</v>
      </c>
      <c r="O18" s="192">
        <v>13.868500000000001</v>
      </c>
      <c r="P18" s="192">
        <v>13.032499999999999</v>
      </c>
      <c r="Q18" s="192">
        <v>12.8665</v>
      </c>
      <c r="R18" s="192">
        <v>13.872499999999999</v>
      </c>
      <c r="S18" s="193">
        <v>13.948499999999999</v>
      </c>
      <c r="T18" s="192">
        <v>13.816000000000001</v>
      </c>
      <c r="U18" s="192">
        <v>14.635999999999999</v>
      </c>
      <c r="V18" s="192">
        <v>13.494999999999999</v>
      </c>
      <c r="W18" s="192">
        <v>14.92</v>
      </c>
      <c r="X18" s="192">
        <v>14.24</v>
      </c>
      <c r="Y18" s="192">
        <v>13.417</v>
      </c>
      <c r="Z18" s="192">
        <v>14.907</v>
      </c>
      <c r="AA18" s="193">
        <v>14.552</v>
      </c>
    </row>
    <row r="19" spans="1:36" x14ac:dyDescent="0.2">
      <c r="A19" s="86"/>
      <c r="B19" s="102">
        <v>9</v>
      </c>
      <c r="C19" s="191">
        <v>2456883.4000506299</v>
      </c>
      <c r="D19" s="192">
        <v>13.755000000000001</v>
      </c>
      <c r="E19" s="192">
        <v>14.09</v>
      </c>
      <c r="F19" s="192">
        <v>13.444000000000001</v>
      </c>
      <c r="G19" s="192">
        <v>13.968999999999999</v>
      </c>
      <c r="H19" s="192">
        <v>12.988</v>
      </c>
      <c r="I19" s="192">
        <v>13.632999999999999</v>
      </c>
      <c r="J19" s="192">
        <v>14.077999999999999</v>
      </c>
      <c r="K19" s="193">
        <v>14.686999999999999</v>
      </c>
      <c r="L19" s="192">
        <v>13.137499999999999</v>
      </c>
      <c r="M19" s="192">
        <v>13.75</v>
      </c>
      <c r="N19" s="192">
        <v>12.849</v>
      </c>
      <c r="O19" s="192">
        <v>13.858000000000001</v>
      </c>
      <c r="P19" s="192">
        <v>13.026</v>
      </c>
      <c r="Q19" s="192">
        <v>12.874499999999999</v>
      </c>
      <c r="R19" s="192">
        <v>13.8795</v>
      </c>
      <c r="S19" s="193">
        <v>13.9465</v>
      </c>
      <c r="T19" s="192">
        <v>13.882</v>
      </c>
      <c r="U19" s="192">
        <v>14.654999999999999</v>
      </c>
      <c r="V19" s="192">
        <v>13.571999999999999</v>
      </c>
      <c r="W19" s="192">
        <v>14.945</v>
      </c>
      <c r="X19" s="192">
        <v>14.26</v>
      </c>
      <c r="Y19" s="192">
        <v>13.462999999999999</v>
      </c>
      <c r="Z19" s="192">
        <v>14.82</v>
      </c>
      <c r="AA19" s="193">
        <v>14.615</v>
      </c>
      <c r="AC19" s="284" t="s">
        <v>14</v>
      </c>
      <c r="AD19" s="286">
        <v>1.17</v>
      </c>
      <c r="AE19" s="286">
        <v>0.64700000000000002</v>
      </c>
    </row>
    <row r="20" spans="1:36" x14ac:dyDescent="0.2">
      <c r="A20" s="86"/>
      <c r="B20" s="102">
        <v>10</v>
      </c>
      <c r="C20" s="191">
        <v>2456883.40040942</v>
      </c>
      <c r="D20" s="192">
        <v>13.763999999999999</v>
      </c>
      <c r="E20" s="192">
        <v>14.079000000000001</v>
      </c>
      <c r="F20" s="192">
        <v>13.432</v>
      </c>
      <c r="G20" s="192">
        <v>13.994999999999999</v>
      </c>
      <c r="H20" s="192">
        <v>13.006</v>
      </c>
      <c r="I20" s="192">
        <v>13.631</v>
      </c>
      <c r="J20" s="192">
        <v>14.093</v>
      </c>
      <c r="K20" s="193">
        <v>14.68</v>
      </c>
      <c r="L20" s="192">
        <v>13.1465</v>
      </c>
      <c r="M20" s="192">
        <v>13.741</v>
      </c>
      <c r="N20" s="192">
        <v>12.846499999999999</v>
      </c>
      <c r="O20" s="192">
        <v>13.8695</v>
      </c>
      <c r="P20" s="192">
        <v>13.03</v>
      </c>
      <c r="Q20" s="192">
        <v>12.875499999999999</v>
      </c>
      <c r="R20" s="192">
        <v>13.867000000000001</v>
      </c>
      <c r="S20" s="193">
        <v>13.965</v>
      </c>
      <c r="T20" s="192">
        <v>13.894</v>
      </c>
      <c r="U20" s="192">
        <v>14.673999999999999</v>
      </c>
      <c r="V20" s="192">
        <v>13.62</v>
      </c>
      <c r="W20" s="192">
        <v>14.965999999999999</v>
      </c>
      <c r="X20" s="192">
        <v>14.263999999999999</v>
      </c>
      <c r="Y20" s="192">
        <v>13.48</v>
      </c>
      <c r="Z20" s="192">
        <v>14.84</v>
      </c>
      <c r="AA20" s="193">
        <v>14.651999999999999</v>
      </c>
    </row>
    <row r="21" spans="1:36" x14ac:dyDescent="0.2">
      <c r="A21" s="86"/>
      <c r="B21" s="102">
        <v>11</v>
      </c>
      <c r="C21" s="191"/>
      <c r="D21" s="192"/>
      <c r="E21" s="192"/>
      <c r="F21" s="192"/>
      <c r="G21" s="192"/>
      <c r="H21" s="192"/>
      <c r="I21" s="192"/>
      <c r="J21" s="192"/>
      <c r="K21" s="193"/>
      <c r="L21" s="192"/>
      <c r="M21" s="192"/>
      <c r="N21" s="192"/>
      <c r="O21" s="192"/>
      <c r="P21" s="192"/>
      <c r="Q21" s="192"/>
      <c r="R21" s="192"/>
      <c r="S21" s="193"/>
      <c r="T21" s="192"/>
      <c r="U21" s="192"/>
      <c r="V21" s="192"/>
      <c r="W21" s="192"/>
      <c r="X21" s="192"/>
      <c r="Y21" s="192"/>
      <c r="Z21" s="192"/>
      <c r="AA21" s="193"/>
      <c r="AC21" s="50"/>
      <c r="AD21" s="52" t="s">
        <v>51</v>
      </c>
      <c r="AE21" s="65" t="s">
        <v>63</v>
      </c>
      <c r="AF21" s="52" t="s">
        <v>64</v>
      </c>
      <c r="AG21" s="52" t="s">
        <v>65</v>
      </c>
      <c r="AH21" s="52" t="s">
        <v>66</v>
      </c>
      <c r="AI21" s="66" t="s">
        <v>67</v>
      </c>
      <c r="AJ21" s="67" t="s">
        <v>68</v>
      </c>
    </row>
    <row r="22" spans="1:36" x14ac:dyDescent="0.2">
      <c r="A22" s="86"/>
      <c r="B22" s="102">
        <v>12</v>
      </c>
      <c r="C22" s="191"/>
      <c r="D22" s="192"/>
      <c r="E22" s="192"/>
      <c r="F22" s="192"/>
      <c r="G22" s="192"/>
      <c r="H22" s="192"/>
      <c r="I22" s="192"/>
      <c r="J22" s="192"/>
      <c r="K22" s="193"/>
      <c r="L22" s="192"/>
      <c r="M22" s="192"/>
      <c r="N22" s="192"/>
      <c r="O22" s="192"/>
      <c r="P22" s="192"/>
      <c r="Q22" s="192"/>
      <c r="R22" s="192"/>
      <c r="S22" s="193"/>
      <c r="T22" s="192"/>
      <c r="U22" s="192"/>
      <c r="V22" s="192"/>
      <c r="W22" s="192"/>
      <c r="X22" s="192"/>
      <c r="Y22" s="192"/>
      <c r="Z22" s="192"/>
      <c r="AA22" s="193"/>
      <c r="AC22" s="61" t="s">
        <v>152</v>
      </c>
      <c r="AD22" s="183">
        <v>-6.1365142184923727E-3</v>
      </c>
      <c r="AE22" s="183">
        <v>7.3069495246311789E-3</v>
      </c>
      <c r="AF22" s="183">
        <v>-2.5601794773812969E-3</v>
      </c>
      <c r="AG22" s="183">
        <v>1.0599745937723171E-2</v>
      </c>
      <c r="AH22" s="183">
        <v>9.4905663716025046E-3</v>
      </c>
      <c r="AI22" s="183">
        <v>-1.1488156451637366E-2</v>
      </c>
      <c r="AJ22" s="184">
        <v>-1.3348925904934639E-2</v>
      </c>
    </row>
    <row r="23" spans="1:36" x14ac:dyDescent="0.2">
      <c r="A23" s="86"/>
      <c r="B23" s="102">
        <v>13</v>
      </c>
      <c r="C23" s="191"/>
      <c r="D23" s="192"/>
      <c r="E23" s="192"/>
      <c r="F23" s="192"/>
      <c r="G23" s="192"/>
      <c r="H23" s="192"/>
      <c r="I23" s="192"/>
      <c r="J23" s="192"/>
      <c r="K23" s="193"/>
      <c r="L23" s="192"/>
      <c r="M23" s="192"/>
      <c r="N23" s="192"/>
      <c r="O23" s="192"/>
      <c r="P23" s="192"/>
      <c r="Q23" s="192"/>
      <c r="R23" s="192"/>
      <c r="S23" s="193"/>
      <c r="T23" s="192"/>
      <c r="U23" s="192"/>
      <c r="V23" s="192"/>
      <c r="W23" s="192"/>
      <c r="X23" s="192"/>
      <c r="Y23" s="192"/>
      <c r="Z23" s="192"/>
      <c r="AA23" s="193"/>
      <c r="AC23" s="61" t="s">
        <v>153</v>
      </c>
      <c r="AD23" s="183">
        <v>-2.0283402634140302E-3</v>
      </c>
      <c r="AE23" s="183">
        <v>2.6895728839004818E-3</v>
      </c>
      <c r="AF23" s="183">
        <v>-4.068324507600618E-2</v>
      </c>
      <c r="AG23" s="183">
        <v>3.4517070040231523E-2</v>
      </c>
      <c r="AH23" s="183">
        <v>3.4913603761611789E-2</v>
      </c>
      <c r="AI23" s="183">
        <v>7.2001675025710199E-3</v>
      </c>
      <c r="AJ23" s="184">
        <v>-3.8637169112305969E-2</v>
      </c>
    </row>
    <row r="24" spans="1:36" x14ac:dyDescent="0.2">
      <c r="A24" s="86"/>
      <c r="B24" s="102">
        <v>14</v>
      </c>
      <c r="C24" s="191"/>
      <c r="D24" s="192"/>
      <c r="E24" s="192"/>
      <c r="F24" s="192"/>
      <c r="G24" s="192"/>
      <c r="H24" s="192"/>
      <c r="I24" s="192"/>
      <c r="J24" s="192"/>
      <c r="K24" s="193"/>
      <c r="L24" s="192"/>
      <c r="M24" s="192"/>
      <c r="N24" s="192"/>
      <c r="O24" s="192"/>
      <c r="P24" s="192"/>
      <c r="Q24" s="192"/>
      <c r="R24" s="192"/>
      <c r="S24" s="193"/>
      <c r="T24" s="192"/>
      <c r="U24" s="192"/>
      <c r="V24" s="192"/>
      <c r="W24" s="192"/>
      <c r="X24" s="192"/>
      <c r="Y24" s="192"/>
      <c r="Z24" s="192"/>
      <c r="AA24" s="193"/>
      <c r="AC24" s="64" t="s">
        <v>154</v>
      </c>
      <c r="AD24" s="296">
        <v>-2.779247752338776E-2</v>
      </c>
      <c r="AE24" s="296">
        <v>-3.6938391239470292E-2</v>
      </c>
      <c r="AF24" s="296">
        <v>3.9058583490836796E-2</v>
      </c>
      <c r="AG24" s="296">
        <v>9.2530094030518484E-4</v>
      </c>
      <c r="AH24" s="296">
        <v>0.10479140899616102</v>
      </c>
      <c r="AI24" s="296">
        <v>-2.717459178928916E-2</v>
      </c>
      <c r="AJ24" s="245">
        <v>-8.066231039854177E-2</v>
      </c>
    </row>
    <row r="25" spans="1:36" x14ac:dyDescent="0.2">
      <c r="A25" s="86"/>
      <c r="B25" s="102">
        <v>15</v>
      </c>
      <c r="C25" s="191"/>
      <c r="D25" s="192"/>
      <c r="E25" s="192"/>
      <c r="F25" s="192"/>
      <c r="G25" s="192"/>
      <c r="H25" s="192"/>
      <c r="I25" s="192"/>
      <c r="J25" s="192"/>
      <c r="K25" s="193"/>
      <c r="L25" s="192"/>
      <c r="M25" s="192"/>
      <c r="N25" s="192"/>
      <c r="O25" s="192"/>
      <c r="P25" s="192"/>
      <c r="Q25" s="192"/>
      <c r="R25" s="192"/>
      <c r="S25" s="193"/>
      <c r="T25" s="192"/>
      <c r="U25" s="192"/>
      <c r="V25" s="192"/>
      <c r="W25" s="192"/>
      <c r="X25" s="192"/>
      <c r="Y25" s="192"/>
      <c r="Z25" s="192"/>
      <c r="AA25" s="193"/>
    </row>
    <row r="26" spans="1:36" x14ac:dyDescent="0.2">
      <c r="A26" s="86"/>
      <c r="B26" s="102">
        <v>16</v>
      </c>
      <c r="C26" s="191"/>
      <c r="D26" s="192"/>
      <c r="E26" s="192"/>
      <c r="F26" s="192"/>
      <c r="G26" s="192"/>
      <c r="H26" s="192"/>
      <c r="I26" s="192"/>
      <c r="J26" s="192"/>
      <c r="K26" s="193"/>
      <c r="L26" s="192"/>
      <c r="M26" s="192"/>
      <c r="N26" s="192"/>
      <c r="O26" s="192"/>
      <c r="P26" s="192"/>
      <c r="Q26" s="192"/>
      <c r="R26" s="192"/>
      <c r="S26" s="193"/>
      <c r="T26" s="192"/>
      <c r="U26" s="192"/>
      <c r="V26" s="192"/>
      <c r="W26" s="192"/>
      <c r="X26" s="192"/>
      <c r="Y26" s="192"/>
      <c r="Z26" s="192"/>
      <c r="AA26" s="193"/>
    </row>
    <row r="27" spans="1:36" x14ac:dyDescent="0.2">
      <c r="A27" s="86"/>
      <c r="B27" s="102">
        <v>17</v>
      </c>
      <c r="C27" s="191"/>
      <c r="D27" s="192"/>
      <c r="E27" s="192"/>
      <c r="F27" s="192"/>
      <c r="G27" s="192"/>
      <c r="H27" s="192"/>
      <c r="I27" s="192"/>
      <c r="J27" s="192"/>
      <c r="K27" s="193"/>
      <c r="L27" s="192"/>
      <c r="M27" s="192"/>
      <c r="N27" s="192"/>
      <c r="O27" s="192"/>
      <c r="P27" s="192"/>
      <c r="Q27" s="192"/>
      <c r="R27" s="192"/>
      <c r="S27" s="193"/>
      <c r="T27" s="192"/>
      <c r="U27" s="192"/>
      <c r="V27" s="192"/>
      <c r="W27" s="192"/>
      <c r="X27" s="192"/>
      <c r="Y27" s="192"/>
      <c r="Z27" s="192"/>
      <c r="AA27" s="193"/>
    </row>
    <row r="28" spans="1:36" x14ac:dyDescent="0.2">
      <c r="A28" s="86"/>
      <c r="B28" s="102">
        <v>18</v>
      </c>
      <c r="C28" s="191"/>
      <c r="D28" s="192"/>
      <c r="E28" s="192"/>
      <c r="F28" s="192"/>
      <c r="G28" s="192"/>
      <c r="H28" s="192"/>
      <c r="I28" s="192"/>
      <c r="J28" s="192"/>
      <c r="K28" s="193"/>
      <c r="L28" s="192"/>
      <c r="M28" s="192"/>
      <c r="N28" s="192"/>
      <c r="O28" s="192"/>
      <c r="P28" s="192"/>
      <c r="Q28" s="192"/>
      <c r="R28" s="192"/>
      <c r="S28" s="193"/>
      <c r="T28" s="192"/>
      <c r="U28" s="192"/>
      <c r="V28" s="192"/>
      <c r="W28" s="192"/>
      <c r="X28" s="192"/>
      <c r="Y28" s="192"/>
      <c r="Z28" s="192"/>
      <c r="AA28" s="193"/>
    </row>
    <row r="29" spans="1:36" x14ac:dyDescent="0.2">
      <c r="A29" s="86"/>
      <c r="B29" s="102">
        <v>19</v>
      </c>
      <c r="C29" s="191"/>
      <c r="D29" s="192"/>
      <c r="E29" s="192"/>
      <c r="F29" s="192"/>
      <c r="G29" s="192"/>
      <c r="H29" s="192"/>
      <c r="I29" s="192"/>
      <c r="J29" s="192"/>
      <c r="K29" s="193"/>
      <c r="L29" s="192"/>
      <c r="M29" s="192"/>
      <c r="N29" s="192"/>
      <c r="O29" s="192"/>
      <c r="P29" s="192"/>
      <c r="Q29" s="192"/>
      <c r="R29" s="192"/>
      <c r="S29" s="193"/>
      <c r="T29" s="192"/>
      <c r="U29" s="192"/>
      <c r="V29" s="192"/>
      <c r="W29" s="192"/>
      <c r="X29" s="192"/>
      <c r="Y29" s="192"/>
      <c r="Z29" s="192"/>
      <c r="AA29" s="193"/>
    </row>
    <row r="30" spans="1:36" x14ac:dyDescent="0.2">
      <c r="A30" s="112"/>
      <c r="B30" s="139">
        <v>20</v>
      </c>
      <c r="C30" s="194"/>
      <c r="D30" s="195"/>
      <c r="E30" s="195"/>
      <c r="F30" s="195"/>
      <c r="G30" s="195"/>
      <c r="H30" s="195"/>
      <c r="I30" s="195"/>
      <c r="J30" s="195"/>
      <c r="K30" s="196"/>
      <c r="L30" s="195"/>
      <c r="M30" s="195"/>
      <c r="N30" s="195"/>
      <c r="O30" s="195"/>
      <c r="P30" s="195"/>
      <c r="Q30" s="195"/>
      <c r="R30" s="195"/>
      <c r="S30" s="196"/>
      <c r="T30" s="195"/>
      <c r="U30" s="195"/>
      <c r="V30" s="195"/>
      <c r="W30" s="195"/>
      <c r="X30" s="195"/>
      <c r="Y30" s="195"/>
      <c r="Z30" s="195"/>
      <c r="AA30" s="196"/>
    </row>
    <row r="42" spans="1:13" x14ac:dyDescent="0.2">
      <c r="A42" s="283"/>
      <c r="B42" s="283"/>
    </row>
    <row r="43" spans="1:13" x14ac:dyDescent="0.2">
      <c r="L43" s="283"/>
      <c r="M43" s="283"/>
    </row>
    <row r="44" spans="1:13" x14ac:dyDescent="0.2">
      <c r="A44" s="283"/>
      <c r="K44" s="283"/>
      <c r="L44" s="283"/>
      <c r="M44" s="283"/>
    </row>
    <row r="45" spans="1:13" x14ac:dyDescent="0.2">
      <c r="A45" s="283"/>
      <c r="B45" s="283"/>
      <c r="K45" s="283"/>
    </row>
    <row r="46" spans="1:13" x14ac:dyDescent="0.2">
      <c r="A46" s="283"/>
      <c r="B46" s="2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0" zoomScaleNormal="80" workbookViewId="0">
      <selection sqref="A1:XFD1048576"/>
    </sheetView>
  </sheetViews>
  <sheetFormatPr defaultRowHeight="12.75" x14ac:dyDescent="0.2"/>
  <cols>
    <col min="1" max="1" width="27.42578125" customWidth="1"/>
    <col min="2" max="2" width="14.7109375" customWidth="1"/>
    <col min="3" max="3" width="13.7109375" bestFit="1" customWidth="1"/>
    <col min="4" max="27" width="12.7109375" customWidth="1"/>
  </cols>
  <sheetData>
    <row r="1" spans="1:27" ht="47.25" x14ac:dyDescent="0.25">
      <c r="A1" s="258" t="s">
        <v>0</v>
      </c>
      <c r="B1" s="259"/>
      <c r="C1" s="258" t="s">
        <v>53</v>
      </c>
      <c r="D1" s="260" t="s">
        <v>52</v>
      </c>
      <c r="E1" s="261" t="s">
        <v>51</v>
      </c>
      <c r="F1" s="261" t="s">
        <v>63</v>
      </c>
      <c r="G1" s="260" t="s">
        <v>64</v>
      </c>
      <c r="H1" s="260" t="s">
        <v>65</v>
      </c>
      <c r="I1" s="260" t="s">
        <v>66</v>
      </c>
      <c r="J1" s="262" t="s">
        <v>67</v>
      </c>
      <c r="K1" s="263" t="s">
        <v>68</v>
      </c>
    </row>
    <row r="2" spans="1:27" x14ac:dyDescent="0.2">
      <c r="A2" s="159" t="s">
        <v>1</v>
      </c>
      <c r="B2" s="214" t="s">
        <v>46</v>
      </c>
      <c r="C2" s="169" t="s">
        <v>54</v>
      </c>
      <c r="D2" s="276" t="s">
        <v>105</v>
      </c>
      <c r="E2" s="277" t="s">
        <v>106</v>
      </c>
      <c r="F2" s="277" t="s">
        <v>107</v>
      </c>
      <c r="G2" s="278" t="s">
        <v>108</v>
      </c>
      <c r="H2" s="278" t="s">
        <v>109</v>
      </c>
      <c r="I2" s="278" t="s">
        <v>110</v>
      </c>
      <c r="J2" s="278" t="s">
        <v>111</v>
      </c>
      <c r="K2" s="279" t="s">
        <v>112</v>
      </c>
    </row>
    <row r="3" spans="1:27" x14ac:dyDescent="0.2">
      <c r="A3" s="61" t="s">
        <v>76</v>
      </c>
      <c r="B3" s="255">
        <v>0</v>
      </c>
      <c r="C3" s="169" t="s">
        <v>11</v>
      </c>
      <c r="D3" s="280">
        <v>261.42</v>
      </c>
      <c r="E3" s="197">
        <v>261.18</v>
      </c>
      <c r="F3" s="197">
        <v>264.53500000000003</v>
      </c>
      <c r="G3" s="197">
        <v>259.67500000000001</v>
      </c>
      <c r="H3" s="197">
        <v>260.21100000000001</v>
      </c>
      <c r="I3" s="197">
        <v>261.88600000000002</v>
      </c>
      <c r="J3" s="197">
        <v>264.173</v>
      </c>
      <c r="K3" s="198">
        <v>259.85300000000001</v>
      </c>
    </row>
    <row r="4" spans="1:27" ht="25.5" x14ac:dyDescent="0.2">
      <c r="A4" s="61" t="s">
        <v>2</v>
      </c>
      <c r="B4" s="252" t="s">
        <v>3</v>
      </c>
      <c r="C4" s="256" t="s">
        <v>12</v>
      </c>
      <c r="D4" s="280">
        <v>-44.779000000000003</v>
      </c>
      <c r="E4" s="197">
        <v>-45.008000000000003</v>
      </c>
      <c r="F4" s="197">
        <v>-42.88</v>
      </c>
      <c r="G4" s="197">
        <v>-46.798999999999999</v>
      </c>
      <c r="H4" s="197">
        <v>-45.420999999999999</v>
      </c>
      <c r="I4" s="197">
        <v>-43.542999999999999</v>
      </c>
      <c r="J4" s="197">
        <v>-44.878999999999998</v>
      </c>
      <c r="K4" s="198">
        <v>-44.222999999999999</v>
      </c>
    </row>
    <row r="5" spans="1:27" x14ac:dyDescent="0.2">
      <c r="A5" s="61" t="s">
        <v>7</v>
      </c>
      <c r="B5" s="203">
        <v>-33.891109999999998</v>
      </c>
      <c r="C5" s="256" t="s">
        <v>13</v>
      </c>
      <c r="D5" s="281"/>
      <c r="E5" s="197">
        <v>6.6559999999999997</v>
      </c>
      <c r="F5" s="197">
        <v>6.0910000000000002</v>
      </c>
      <c r="G5" s="197">
        <v>7.2130000000000001</v>
      </c>
      <c r="H5" s="197">
        <v>7.2519999999999998</v>
      </c>
      <c r="I5" s="197">
        <v>7.2539999999999996</v>
      </c>
      <c r="J5" s="197">
        <v>7.383</v>
      </c>
      <c r="K5" s="198">
        <v>6.6440000000000001</v>
      </c>
    </row>
    <row r="6" spans="1:27" x14ac:dyDescent="0.2">
      <c r="A6" s="61" t="s">
        <v>8</v>
      </c>
      <c r="B6" s="203">
        <v>151</v>
      </c>
      <c r="C6" s="256" t="s">
        <v>14</v>
      </c>
      <c r="D6" s="280">
        <v>1.248</v>
      </c>
      <c r="E6" s="197">
        <v>0.38200000000000001</v>
      </c>
      <c r="F6" s="197">
        <v>-6.9000000000000006E-2</v>
      </c>
      <c r="G6" s="197">
        <v>0.624</v>
      </c>
      <c r="H6" s="197">
        <v>8.7999999999999995E-2</v>
      </c>
      <c r="I6" s="197">
        <v>0.43</v>
      </c>
      <c r="J6" s="197">
        <v>1.4319999999999999</v>
      </c>
      <c r="K6" s="198">
        <v>0.23200000000000001</v>
      </c>
    </row>
    <row r="7" spans="1:27" x14ac:dyDescent="0.2">
      <c r="A7" s="64"/>
      <c r="B7" s="212"/>
      <c r="C7" s="257" t="s">
        <v>89</v>
      </c>
      <c r="D7" s="282">
        <v>0.625</v>
      </c>
      <c r="E7" s="199">
        <v>0.223</v>
      </c>
      <c r="F7" s="199">
        <v>-1.7000000000000001E-2</v>
      </c>
      <c r="G7" s="199">
        <v>0.41499999999999998</v>
      </c>
      <c r="H7" s="199">
        <v>2.9000000000000001E-2</v>
      </c>
      <c r="I7" s="199">
        <v>0.254</v>
      </c>
      <c r="J7" s="199">
        <v>0.76400000000000001</v>
      </c>
      <c r="K7" s="200">
        <v>0.13400000000000001</v>
      </c>
    </row>
    <row r="8" spans="1:27" s="202" customFormat="1" x14ac:dyDescent="0.2">
      <c r="A8" s="12"/>
      <c r="B8" s="201"/>
      <c r="C8" s="176"/>
      <c r="D8" s="37"/>
      <c r="E8" s="37"/>
      <c r="F8" s="37"/>
      <c r="G8" s="37"/>
      <c r="H8" s="37"/>
      <c r="I8" s="37"/>
      <c r="J8" s="37"/>
      <c r="K8" s="37"/>
    </row>
    <row r="9" spans="1:27" ht="31.5" x14ac:dyDescent="0.25">
      <c r="A9" s="148" t="s">
        <v>55</v>
      </c>
      <c r="B9" s="67" t="s">
        <v>48</v>
      </c>
      <c r="C9" s="50"/>
      <c r="D9" s="50"/>
      <c r="E9" s="51"/>
      <c r="F9" s="51"/>
      <c r="G9" s="52" t="s">
        <v>86</v>
      </c>
      <c r="H9" s="51"/>
      <c r="I9" s="51"/>
      <c r="J9" s="51"/>
      <c r="K9" s="38"/>
      <c r="L9" s="51"/>
      <c r="M9" s="51"/>
      <c r="N9" s="51"/>
      <c r="O9" s="52" t="s">
        <v>88</v>
      </c>
      <c r="P9" s="51"/>
      <c r="Q9" s="51"/>
      <c r="R9" s="51"/>
      <c r="S9" s="51"/>
      <c r="T9" s="50"/>
      <c r="U9" s="51"/>
      <c r="V9" s="51"/>
      <c r="W9" s="52" t="s">
        <v>87</v>
      </c>
      <c r="X9" s="51"/>
      <c r="Y9" s="51"/>
      <c r="Z9" s="51"/>
      <c r="AA9" s="38"/>
    </row>
    <row r="10" spans="1:27" x14ac:dyDescent="0.2">
      <c r="A10" s="112"/>
      <c r="B10" s="105" t="s">
        <v>73</v>
      </c>
      <c r="C10" s="64" t="s">
        <v>37</v>
      </c>
      <c r="D10" s="64" t="s">
        <v>52</v>
      </c>
      <c r="E10" s="106" t="s">
        <v>51</v>
      </c>
      <c r="F10" s="104" t="s">
        <v>63</v>
      </c>
      <c r="G10" s="106" t="s">
        <v>64</v>
      </c>
      <c r="H10" s="106" t="s">
        <v>65</v>
      </c>
      <c r="I10" s="106" t="s">
        <v>66</v>
      </c>
      <c r="J10" s="93" t="s">
        <v>67</v>
      </c>
      <c r="K10" s="105" t="s">
        <v>68</v>
      </c>
      <c r="L10" s="106" t="s">
        <v>52</v>
      </c>
      <c r="M10" s="106" t="s">
        <v>51</v>
      </c>
      <c r="N10" s="104" t="s">
        <v>63</v>
      </c>
      <c r="O10" s="106" t="s">
        <v>64</v>
      </c>
      <c r="P10" s="106" t="s">
        <v>65</v>
      </c>
      <c r="Q10" s="106" t="s">
        <v>66</v>
      </c>
      <c r="R10" s="93" t="s">
        <v>67</v>
      </c>
      <c r="S10" s="106" t="s">
        <v>68</v>
      </c>
      <c r="T10" s="64" t="s">
        <v>52</v>
      </c>
      <c r="U10" s="106" t="s">
        <v>51</v>
      </c>
      <c r="V10" s="104" t="s">
        <v>63</v>
      </c>
      <c r="W10" s="106" t="s">
        <v>64</v>
      </c>
      <c r="X10" s="106" t="s">
        <v>65</v>
      </c>
      <c r="Y10" s="106" t="s">
        <v>66</v>
      </c>
      <c r="Z10" s="93" t="s">
        <v>67</v>
      </c>
      <c r="AA10" s="105" t="s">
        <v>68</v>
      </c>
    </row>
    <row r="11" spans="1:27" x14ac:dyDescent="0.2">
      <c r="A11" s="86"/>
      <c r="B11" s="102">
        <v>1</v>
      </c>
      <c r="C11" s="191">
        <v>2456908.86616319</v>
      </c>
      <c r="D11" s="192">
        <v>14.44</v>
      </c>
      <c r="E11" s="192">
        <v>12.897</v>
      </c>
      <c r="F11" s="192">
        <v>12.025</v>
      </c>
      <c r="G11" s="192">
        <v>13.63</v>
      </c>
      <c r="H11" s="192">
        <v>13.292999999999999</v>
      </c>
      <c r="I11" s="192">
        <v>13.544</v>
      </c>
      <c r="J11" s="197">
        <v>14.292999999999999</v>
      </c>
      <c r="K11" s="193">
        <v>12.786</v>
      </c>
      <c r="L11" s="192">
        <v>13.818999999999999</v>
      </c>
      <c r="M11" s="192">
        <v>12.669499999999999</v>
      </c>
      <c r="N11" s="192">
        <v>12.035499999999999</v>
      </c>
      <c r="O11" s="192">
        <v>13.266500000000001</v>
      </c>
      <c r="P11" s="192">
        <v>13.249000000000001</v>
      </c>
      <c r="Q11" s="192">
        <v>13.332000000000001</v>
      </c>
      <c r="R11" s="197">
        <v>13.548500000000001</v>
      </c>
      <c r="S11" s="193">
        <v>12.643000000000001</v>
      </c>
      <c r="T11" s="192">
        <v>14.48</v>
      </c>
      <c r="U11" s="192">
        <v>13.724</v>
      </c>
      <c r="V11" s="192">
        <v>13.257999999999999</v>
      </c>
      <c r="W11" s="192">
        <v>14.101000000000001</v>
      </c>
      <c r="X11" s="192">
        <v>14.409000000000001</v>
      </c>
      <c r="Y11" s="192">
        <v>14.321999999999999</v>
      </c>
      <c r="Z11" s="197">
        <v>14.147</v>
      </c>
      <c r="AA11" s="193">
        <v>13.743</v>
      </c>
    </row>
    <row r="12" spans="1:27" x14ac:dyDescent="0.2">
      <c r="A12" s="86"/>
      <c r="B12" s="102">
        <v>2</v>
      </c>
      <c r="C12" s="191">
        <v>2456908.8666724502</v>
      </c>
      <c r="D12" s="192">
        <v>14.51</v>
      </c>
      <c r="E12" s="192">
        <v>12.888999999999999</v>
      </c>
      <c r="F12" s="192">
        <v>12.045999999999999</v>
      </c>
      <c r="G12" s="192">
        <v>13.631</v>
      </c>
      <c r="H12" s="192">
        <v>13.31</v>
      </c>
      <c r="I12" s="192">
        <v>13.568</v>
      </c>
      <c r="J12" s="192">
        <v>14.32</v>
      </c>
      <c r="K12" s="193">
        <v>12.787000000000001</v>
      </c>
      <c r="L12" s="192">
        <v>13.8225</v>
      </c>
      <c r="M12" s="192">
        <v>12.679</v>
      </c>
      <c r="N12" s="192">
        <v>12.053000000000001</v>
      </c>
      <c r="O12" s="192">
        <v>13.265499999999999</v>
      </c>
      <c r="P12" s="192">
        <v>13.2585</v>
      </c>
      <c r="Q12" s="192">
        <v>13.3345</v>
      </c>
      <c r="R12" s="192">
        <v>13.561500000000001</v>
      </c>
      <c r="S12" s="193">
        <v>12.6455</v>
      </c>
      <c r="T12" s="192">
        <v>14.526</v>
      </c>
      <c r="U12" s="192">
        <v>13.727</v>
      </c>
      <c r="V12" s="192">
        <v>13.273999999999999</v>
      </c>
      <c r="W12" s="192">
        <v>14.122999999999999</v>
      </c>
      <c r="X12" s="192">
        <v>14.443</v>
      </c>
      <c r="Y12" s="192">
        <v>14.358000000000001</v>
      </c>
      <c r="Z12" s="192">
        <v>14.156000000000001</v>
      </c>
      <c r="AA12" s="193">
        <v>13.723000000000001</v>
      </c>
    </row>
    <row r="13" spans="1:27" x14ac:dyDescent="0.2">
      <c r="A13" s="86"/>
      <c r="B13" s="102">
        <v>3</v>
      </c>
      <c r="C13" s="191">
        <v>2456908.86718171</v>
      </c>
      <c r="D13" s="192">
        <v>14.452</v>
      </c>
      <c r="E13" s="192">
        <v>12.891</v>
      </c>
      <c r="F13" s="192">
        <v>12.028</v>
      </c>
      <c r="G13" s="192">
        <v>13.637</v>
      </c>
      <c r="H13" s="192">
        <v>13.284000000000001</v>
      </c>
      <c r="I13" s="192">
        <v>13.558</v>
      </c>
      <c r="J13" s="192">
        <v>14.298999999999999</v>
      </c>
      <c r="K13" s="193">
        <v>12.798999999999999</v>
      </c>
      <c r="L13" s="192">
        <v>13.791</v>
      </c>
      <c r="M13" s="192">
        <v>12.664999999999999</v>
      </c>
      <c r="N13" s="192">
        <v>12.036999999999999</v>
      </c>
      <c r="O13" s="192">
        <v>13.289</v>
      </c>
      <c r="P13" s="192">
        <v>13.223500000000001</v>
      </c>
      <c r="Q13" s="192">
        <v>13.2935</v>
      </c>
      <c r="R13" s="192">
        <v>13.534500000000001</v>
      </c>
      <c r="S13" s="193">
        <v>12.6515</v>
      </c>
      <c r="T13" s="192">
        <v>14.462</v>
      </c>
      <c r="U13" s="192">
        <v>13.711</v>
      </c>
      <c r="V13" s="192">
        <v>13.253</v>
      </c>
      <c r="W13" s="192">
        <v>14.164999999999999</v>
      </c>
      <c r="X13" s="192">
        <v>14.396000000000001</v>
      </c>
      <c r="Y13" s="192">
        <v>14.32</v>
      </c>
      <c r="Z13" s="192">
        <v>14.134</v>
      </c>
      <c r="AA13" s="193">
        <v>13.760999999999999</v>
      </c>
    </row>
    <row r="14" spans="1:27" x14ac:dyDescent="0.2">
      <c r="A14" s="86"/>
      <c r="B14" s="102">
        <v>4</v>
      </c>
      <c r="C14" s="191">
        <v>2456908.8676909702</v>
      </c>
      <c r="D14" s="192">
        <v>14.478999999999999</v>
      </c>
      <c r="E14" s="192">
        <v>12.891</v>
      </c>
      <c r="F14" s="192">
        <v>12.028</v>
      </c>
      <c r="G14" s="192">
        <v>13.603999999999999</v>
      </c>
      <c r="H14" s="192">
        <v>13.304</v>
      </c>
      <c r="I14" s="192">
        <v>13.561</v>
      </c>
      <c r="J14" s="192">
        <v>14.311</v>
      </c>
      <c r="K14" s="193">
        <v>12.794</v>
      </c>
      <c r="L14" s="192">
        <v>13.817499999999999</v>
      </c>
      <c r="M14" s="192">
        <v>12.6685</v>
      </c>
      <c r="N14" s="192">
        <v>12.032999999999999</v>
      </c>
      <c r="O14" s="192">
        <v>13.2805</v>
      </c>
      <c r="P14" s="192">
        <v>13.244499999999999</v>
      </c>
      <c r="Q14" s="192">
        <v>13.307</v>
      </c>
      <c r="R14" s="192">
        <v>13.545500000000001</v>
      </c>
      <c r="S14" s="193">
        <v>12.647</v>
      </c>
      <c r="T14" s="192">
        <v>14.503</v>
      </c>
      <c r="U14" s="192">
        <v>13.718</v>
      </c>
      <c r="V14" s="192">
        <v>13.25</v>
      </c>
      <c r="W14" s="192">
        <v>14.15</v>
      </c>
      <c r="X14" s="192">
        <v>14.412000000000001</v>
      </c>
      <c r="Y14" s="192">
        <v>14.314</v>
      </c>
      <c r="Z14" s="192">
        <v>14.164999999999999</v>
      </c>
      <c r="AA14" s="193">
        <v>13.725</v>
      </c>
    </row>
    <row r="15" spans="1:27" x14ac:dyDescent="0.2">
      <c r="A15" s="86"/>
      <c r="B15" s="102">
        <v>5</v>
      </c>
      <c r="C15" s="191">
        <v>2456908.8682002299</v>
      </c>
      <c r="D15" s="192">
        <v>14.521000000000001</v>
      </c>
      <c r="E15" s="192">
        <v>12.903</v>
      </c>
      <c r="F15" s="192">
        <v>12.013999999999999</v>
      </c>
      <c r="G15" s="192">
        <v>13.619</v>
      </c>
      <c r="H15" s="192">
        <v>13.289</v>
      </c>
      <c r="I15" s="192">
        <v>13.545999999999999</v>
      </c>
      <c r="J15" s="192">
        <v>14.282999999999999</v>
      </c>
      <c r="K15" s="193">
        <v>12.788</v>
      </c>
      <c r="L15" s="192">
        <v>13.798500000000001</v>
      </c>
      <c r="M15" s="192">
        <v>12.692</v>
      </c>
      <c r="N15" s="192">
        <v>12.022500000000001</v>
      </c>
      <c r="O15" s="192">
        <v>13.276999999999999</v>
      </c>
      <c r="P15" s="192">
        <v>13.2285</v>
      </c>
      <c r="Q15" s="192">
        <v>13.32</v>
      </c>
      <c r="R15" s="192">
        <v>13.535</v>
      </c>
      <c r="S15" s="193">
        <v>12.640499999999999</v>
      </c>
      <c r="T15" s="192">
        <v>14.507</v>
      </c>
      <c r="U15" s="192">
        <v>13.717000000000001</v>
      </c>
      <c r="V15" s="192">
        <v>13.249000000000001</v>
      </c>
      <c r="W15" s="192">
        <v>14.167999999999999</v>
      </c>
      <c r="X15" s="192">
        <v>14.406000000000001</v>
      </c>
      <c r="Y15" s="192">
        <v>14.305999999999999</v>
      </c>
      <c r="Z15" s="192">
        <v>14.124000000000001</v>
      </c>
      <c r="AA15" s="193">
        <v>13.723000000000001</v>
      </c>
    </row>
    <row r="16" spans="1:27" x14ac:dyDescent="0.2">
      <c r="A16" s="86"/>
      <c r="B16" s="102">
        <v>6</v>
      </c>
      <c r="C16" s="191">
        <v>2456908.8687094902</v>
      </c>
      <c r="D16" s="192">
        <v>14.496</v>
      </c>
      <c r="E16" s="192">
        <v>12.91</v>
      </c>
      <c r="F16" s="192">
        <v>12.029</v>
      </c>
      <c r="G16" s="192">
        <v>13.634</v>
      </c>
      <c r="H16" s="192">
        <v>13.28</v>
      </c>
      <c r="I16" s="192">
        <v>13.558</v>
      </c>
      <c r="J16" s="192">
        <v>14.292</v>
      </c>
      <c r="K16" s="193">
        <v>12.797000000000001</v>
      </c>
      <c r="L16" s="192">
        <v>13.826000000000001</v>
      </c>
      <c r="M16" s="192">
        <v>12.679500000000001</v>
      </c>
      <c r="N16" s="192">
        <v>12.029499999999999</v>
      </c>
      <c r="O16" s="192">
        <v>13.282</v>
      </c>
      <c r="P16" s="192">
        <v>13.236000000000001</v>
      </c>
      <c r="Q16" s="192">
        <v>13.302</v>
      </c>
      <c r="R16" s="192">
        <v>13.548500000000001</v>
      </c>
      <c r="S16" s="193">
        <v>12.649000000000001</v>
      </c>
      <c r="T16" s="192">
        <v>14.545</v>
      </c>
      <c r="U16" s="192">
        <v>13.718</v>
      </c>
      <c r="V16" s="192">
        <v>13.25</v>
      </c>
      <c r="W16" s="192">
        <v>14.131</v>
      </c>
      <c r="X16" s="192">
        <v>14.419</v>
      </c>
      <c r="Y16" s="192">
        <v>14.311999999999999</v>
      </c>
      <c r="Z16" s="192">
        <v>14.146000000000001</v>
      </c>
      <c r="AA16" s="193">
        <v>13.73</v>
      </c>
    </row>
    <row r="17" spans="1:27" x14ac:dyDescent="0.2">
      <c r="A17" s="86"/>
      <c r="B17" s="102">
        <v>7</v>
      </c>
      <c r="C17" s="191">
        <v>2456908.8692303202</v>
      </c>
      <c r="D17" s="192">
        <v>14.509</v>
      </c>
      <c r="E17" s="192">
        <v>12.879</v>
      </c>
      <c r="F17" s="192">
        <v>12.034000000000001</v>
      </c>
      <c r="G17" s="192">
        <v>13.638999999999999</v>
      </c>
      <c r="H17" s="192">
        <v>13.288</v>
      </c>
      <c r="I17" s="192">
        <v>13.552</v>
      </c>
      <c r="J17" s="192">
        <v>14.292999999999999</v>
      </c>
      <c r="K17" s="193">
        <v>12.804</v>
      </c>
      <c r="L17" s="192">
        <v>13.814500000000001</v>
      </c>
      <c r="M17" s="192">
        <v>12.662500000000001</v>
      </c>
      <c r="N17" s="192">
        <v>12.039</v>
      </c>
      <c r="O17" s="192">
        <v>13.271000000000001</v>
      </c>
      <c r="P17" s="192">
        <v>13.218</v>
      </c>
      <c r="Q17" s="192">
        <v>13.309000000000001</v>
      </c>
      <c r="R17" s="192">
        <v>13.5535</v>
      </c>
      <c r="S17" s="193">
        <v>12.6585</v>
      </c>
      <c r="T17" s="192">
        <v>14.477</v>
      </c>
      <c r="U17" s="192">
        <v>13.698</v>
      </c>
      <c r="V17" s="192">
        <v>13.254</v>
      </c>
      <c r="W17" s="192">
        <v>14.132999999999999</v>
      </c>
      <c r="X17" s="192">
        <v>14.412000000000001</v>
      </c>
      <c r="Y17" s="192">
        <v>14.305</v>
      </c>
      <c r="Z17" s="192">
        <v>14.138999999999999</v>
      </c>
      <c r="AA17" s="193">
        <v>13.749000000000001</v>
      </c>
    </row>
    <row r="18" spans="1:27" x14ac:dyDescent="0.2">
      <c r="A18" s="86"/>
      <c r="B18" s="102">
        <v>8</v>
      </c>
      <c r="C18" s="191">
        <v>2456908.86973958</v>
      </c>
      <c r="D18" s="192">
        <v>14.416</v>
      </c>
      <c r="E18" s="192">
        <v>12.896000000000001</v>
      </c>
      <c r="F18" s="192">
        <v>12.05</v>
      </c>
      <c r="G18" s="192">
        <v>13.647</v>
      </c>
      <c r="H18" s="192">
        <v>13.294</v>
      </c>
      <c r="I18" s="192">
        <v>13.532999999999999</v>
      </c>
      <c r="J18" s="192">
        <v>14.3</v>
      </c>
      <c r="K18" s="193">
        <v>12.784000000000001</v>
      </c>
      <c r="L18" s="192">
        <v>13.82</v>
      </c>
      <c r="M18" s="192">
        <v>12.688500000000001</v>
      </c>
      <c r="N18" s="192">
        <v>12.047499999999999</v>
      </c>
      <c r="O18" s="192">
        <v>13.2745</v>
      </c>
      <c r="P18" s="192">
        <v>13.236000000000001</v>
      </c>
      <c r="Q18" s="192">
        <v>13.308</v>
      </c>
      <c r="R18" s="192">
        <v>13.564</v>
      </c>
      <c r="S18" s="193">
        <v>12.655999999999999</v>
      </c>
      <c r="T18" s="192">
        <v>14.484999999999999</v>
      </c>
      <c r="U18" s="192">
        <v>13.708</v>
      </c>
      <c r="V18" s="192">
        <v>13.269</v>
      </c>
      <c r="W18" s="192">
        <v>14.172000000000001</v>
      </c>
      <c r="X18" s="192">
        <v>14.426</v>
      </c>
      <c r="Y18" s="192">
        <v>14.32</v>
      </c>
      <c r="Z18" s="192">
        <v>14.11</v>
      </c>
      <c r="AA18" s="193">
        <v>13.731999999999999</v>
      </c>
    </row>
    <row r="19" spans="1:27" x14ac:dyDescent="0.2">
      <c r="A19" s="86"/>
      <c r="B19" s="102">
        <v>9</v>
      </c>
      <c r="C19" s="191">
        <v>2456908.8702488402</v>
      </c>
      <c r="D19" s="192">
        <v>14.47</v>
      </c>
      <c r="E19" s="192">
        <v>12.891</v>
      </c>
      <c r="F19" s="192">
        <v>12.026</v>
      </c>
      <c r="G19" s="192">
        <v>13.62</v>
      </c>
      <c r="H19" s="192">
        <v>13.282999999999999</v>
      </c>
      <c r="I19" s="192">
        <v>13.553000000000001</v>
      </c>
      <c r="J19" s="192">
        <v>14.276</v>
      </c>
      <c r="K19" s="193">
        <v>12.782999999999999</v>
      </c>
      <c r="L19" s="192">
        <v>13.8065</v>
      </c>
      <c r="M19" s="192">
        <v>12.678999999999998</v>
      </c>
      <c r="N19" s="192">
        <v>12.034500000000001</v>
      </c>
      <c r="O19" s="192">
        <v>13.281500000000001</v>
      </c>
      <c r="P19" s="192">
        <v>13.234</v>
      </c>
      <c r="Q19" s="192">
        <v>13.3085</v>
      </c>
      <c r="R19" s="192">
        <v>13.534500000000001</v>
      </c>
      <c r="S19" s="193">
        <v>12.645</v>
      </c>
      <c r="T19" s="192">
        <v>14.515000000000001</v>
      </c>
      <c r="U19" s="192">
        <v>13.721</v>
      </c>
      <c r="V19" s="192">
        <v>13.250999999999999</v>
      </c>
      <c r="W19" s="192">
        <v>14.138999999999999</v>
      </c>
      <c r="X19" s="192">
        <v>14.423</v>
      </c>
      <c r="Y19" s="192">
        <v>14.311</v>
      </c>
      <c r="Z19" s="192">
        <v>14.122999999999999</v>
      </c>
      <c r="AA19" s="193">
        <v>13.739000000000001</v>
      </c>
    </row>
    <row r="20" spans="1:27" x14ac:dyDescent="0.2">
      <c r="A20" s="86"/>
      <c r="B20" s="102">
        <v>10</v>
      </c>
      <c r="C20" s="191">
        <v>2456908.8707580999</v>
      </c>
      <c r="D20" s="192">
        <v>14.47</v>
      </c>
      <c r="E20" s="192">
        <v>12.904</v>
      </c>
      <c r="F20" s="192">
        <v>12.032999999999999</v>
      </c>
      <c r="G20" s="192">
        <v>13.625999999999999</v>
      </c>
      <c r="H20" s="192">
        <v>13.28</v>
      </c>
      <c r="I20" s="192">
        <v>13.547000000000001</v>
      </c>
      <c r="J20" s="192">
        <v>14.292999999999999</v>
      </c>
      <c r="K20" s="193">
        <v>12.782999999999999</v>
      </c>
      <c r="L20" s="192">
        <v>13.8085</v>
      </c>
      <c r="M20" s="192">
        <v>12.6755</v>
      </c>
      <c r="N20" s="192">
        <v>12.047000000000001</v>
      </c>
      <c r="O20" s="192">
        <v>13.2865</v>
      </c>
      <c r="P20" s="192">
        <v>13.230499999999999</v>
      </c>
      <c r="Q20" s="192">
        <v>13.3245</v>
      </c>
      <c r="R20" s="192">
        <v>13.544</v>
      </c>
      <c r="S20" s="193">
        <v>12.6435</v>
      </c>
      <c r="T20" s="192">
        <v>14.465</v>
      </c>
      <c r="U20" s="192">
        <v>13.718</v>
      </c>
      <c r="V20" s="192">
        <v>13.27</v>
      </c>
      <c r="W20" s="192">
        <v>14.127000000000001</v>
      </c>
      <c r="X20" s="192">
        <v>14.419</v>
      </c>
      <c r="Y20" s="192">
        <v>14.324</v>
      </c>
      <c r="Z20" s="192">
        <v>14.151</v>
      </c>
      <c r="AA20" s="193">
        <v>13.733000000000001</v>
      </c>
    </row>
    <row r="21" spans="1:27" x14ac:dyDescent="0.2">
      <c r="A21" s="86"/>
      <c r="B21" s="102">
        <v>11</v>
      </c>
      <c r="C21" s="191"/>
      <c r="D21" s="192"/>
      <c r="E21" s="192"/>
      <c r="F21" s="192"/>
      <c r="G21" s="192"/>
      <c r="H21" s="192"/>
      <c r="I21" s="192"/>
      <c r="J21" s="192"/>
      <c r="K21" s="193"/>
      <c r="L21" s="192"/>
      <c r="M21" s="192"/>
      <c r="N21" s="192"/>
      <c r="O21" s="192"/>
      <c r="P21" s="192"/>
      <c r="Q21" s="192"/>
      <c r="R21" s="192"/>
      <c r="S21" s="193"/>
      <c r="T21" s="192"/>
      <c r="U21" s="192"/>
      <c r="V21" s="192"/>
      <c r="W21" s="192"/>
      <c r="X21" s="192"/>
      <c r="Y21" s="192"/>
      <c r="Z21" s="192"/>
      <c r="AA21" s="193"/>
    </row>
    <row r="22" spans="1:27" x14ac:dyDescent="0.2">
      <c r="A22" s="86"/>
      <c r="B22" s="102">
        <v>12</v>
      </c>
      <c r="C22" s="191"/>
      <c r="D22" s="192"/>
      <c r="E22" s="192"/>
      <c r="F22" s="192"/>
      <c r="G22" s="192"/>
      <c r="H22" s="192"/>
      <c r="I22" s="192"/>
      <c r="J22" s="192"/>
      <c r="K22" s="193"/>
      <c r="L22" s="192"/>
      <c r="M22" s="192"/>
      <c r="N22" s="192"/>
      <c r="O22" s="192"/>
      <c r="P22" s="192"/>
      <c r="Q22" s="192"/>
      <c r="R22" s="192"/>
      <c r="S22" s="193"/>
      <c r="T22" s="192"/>
      <c r="U22" s="192"/>
      <c r="V22" s="192"/>
      <c r="W22" s="192"/>
      <c r="X22" s="192"/>
      <c r="Y22" s="192"/>
      <c r="Z22" s="192"/>
      <c r="AA22" s="193"/>
    </row>
    <row r="23" spans="1:27" x14ac:dyDescent="0.2">
      <c r="A23" s="86"/>
      <c r="B23" s="102">
        <v>13</v>
      </c>
      <c r="C23" s="191"/>
      <c r="D23" s="192"/>
      <c r="E23" s="192"/>
      <c r="F23" s="192"/>
      <c r="G23" s="192"/>
      <c r="H23" s="192"/>
      <c r="I23" s="192"/>
      <c r="J23" s="192"/>
      <c r="K23" s="193"/>
      <c r="L23" s="192"/>
      <c r="M23" s="192"/>
      <c r="N23" s="192"/>
      <c r="O23" s="192"/>
      <c r="P23" s="192"/>
      <c r="Q23" s="192"/>
      <c r="R23" s="192"/>
      <c r="S23" s="193"/>
      <c r="T23" s="192"/>
      <c r="U23" s="192"/>
      <c r="V23" s="192"/>
      <c r="W23" s="192"/>
      <c r="X23" s="192"/>
      <c r="Y23" s="192"/>
      <c r="Z23" s="192"/>
      <c r="AA23" s="193"/>
    </row>
    <row r="24" spans="1:27" x14ac:dyDescent="0.2">
      <c r="A24" s="86"/>
      <c r="B24" s="102">
        <v>14</v>
      </c>
      <c r="C24" s="191"/>
      <c r="D24" s="192"/>
      <c r="E24" s="192"/>
      <c r="F24" s="192"/>
      <c r="G24" s="192"/>
      <c r="H24" s="192"/>
      <c r="I24" s="192"/>
      <c r="J24" s="192"/>
      <c r="K24" s="193"/>
      <c r="L24" s="192"/>
      <c r="M24" s="192"/>
      <c r="N24" s="192"/>
      <c r="O24" s="192"/>
      <c r="P24" s="192"/>
      <c r="Q24" s="192"/>
      <c r="R24" s="192"/>
      <c r="S24" s="193"/>
      <c r="T24" s="192"/>
      <c r="U24" s="192"/>
      <c r="V24" s="192"/>
      <c r="W24" s="192"/>
      <c r="X24" s="192"/>
      <c r="Y24" s="192"/>
      <c r="Z24" s="192"/>
      <c r="AA24" s="193"/>
    </row>
    <row r="25" spans="1:27" x14ac:dyDescent="0.2">
      <c r="A25" s="86"/>
      <c r="B25" s="102">
        <v>15</v>
      </c>
      <c r="C25" s="191"/>
      <c r="D25" s="192"/>
      <c r="E25" s="192"/>
      <c r="F25" s="192"/>
      <c r="G25" s="192"/>
      <c r="H25" s="192"/>
      <c r="I25" s="192"/>
      <c r="J25" s="192"/>
      <c r="K25" s="193"/>
      <c r="L25" s="192"/>
      <c r="M25" s="192"/>
      <c r="N25" s="192"/>
      <c r="O25" s="192"/>
      <c r="P25" s="192"/>
      <c r="Q25" s="192"/>
      <c r="R25" s="192"/>
      <c r="S25" s="193"/>
      <c r="T25" s="192"/>
      <c r="U25" s="192"/>
      <c r="V25" s="192"/>
      <c r="W25" s="192"/>
      <c r="X25" s="192"/>
      <c r="Y25" s="192"/>
      <c r="Z25" s="192"/>
      <c r="AA25" s="193"/>
    </row>
    <row r="26" spans="1:27" x14ac:dyDescent="0.2">
      <c r="A26" s="86"/>
      <c r="B26" s="102">
        <v>16</v>
      </c>
      <c r="C26" s="191"/>
      <c r="D26" s="192"/>
      <c r="E26" s="192"/>
      <c r="F26" s="192"/>
      <c r="G26" s="192"/>
      <c r="H26" s="192"/>
      <c r="I26" s="192"/>
      <c r="J26" s="192"/>
      <c r="K26" s="193"/>
      <c r="L26" s="192"/>
      <c r="M26" s="192"/>
      <c r="N26" s="192"/>
      <c r="O26" s="192"/>
      <c r="P26" s="192"/>
      <c r="Q26" s="192"/>
      <c r="R26" s="192"/>
      <c r="S26" s="193"/>
      <c r="T26" s="192"/>
      <c r="U26" s="192"/>
      <c r="V26" s="192"/>
      <c r="W26" s="192"/>
      <c r="X26" s="192"/>
      <c r="Y26" s="192"/>
      <c r="Z26" s="192"/>
      <c r="AA26" s="193"/>
    </row>
    <row r="27" spans="1:27" x14ac:dyDescent="0.2">
      <c r="A27" s="86"/>
      <c r="B27" s="102">
        <v>17</v>
      </c>
      <c r="C27" s="191"/>
      <c r="D27" s="192"/>
      <c r="E27" s="192"/>
      <c r="F27" s="192"/>
      <c r="G27" s="192"/>
      <c r="H27" s="192"/>
      <c r="I27" s="192"/>
      <c r="J27" s="192"/>
      <c r="K27" s="193"/>
      <c r="L27" s="192"/>
      <c r="M27" s="192"/>
      <c r="N27" s="192"/>
      <c r="O27" s="192"/>
      <c r="P27" s="192"/>
      <c r="Q27" s="192"/>
      <c r="R27" s="192"/>
      <c r="S27" s="193"/>
      <c r="T27" s="192"/>
      <c r="U27" s="192"/>
      <c r="V27" s="192"/>
      <c r="W27" s="192"/>
      <c r="X27" s="192"/>
      <c r="Y27" s="192"/>
      <c r="Z27" s="192"/>
      <c r="AA27" s="193"/>
    </row>
    <row r="28" spans="1:27" x14ac:dyDescent="0.2">
      <c r="A28" s="86"/>
      <c r="B28" s="102">
        <v>18</v>
      </c>
      <c r="C28" s="191"/>
      <c r="D28" s="192"/>
      <c r="E28" s="192"/>
      <c r="F28" s="192"/>
      <c r="G28" s="192"/>
      <c r="H28" s="192"/>
      <c r="I28" s="192"/>
      <c r="J28" s="192"/>
      <c r="K28" s="193"/>
      <c r="L28" s="192"/>
      <c r="M28" s="192"/>
      <c r="N28" s="192"/>
      <c r="O28" s="192"/>
      <c r="P28" s="192"/>
      <c r="Q28" s="192"/>
      <c r="R28" s="192"/>
      <c r="S28" s="193"/>
      <c r="T28" s="192"/>
      <c r="U28" s="192"/>
      <c r="V28" s="192"/>
      <c r="W28" s="192"/>
      <c r="X28" s="192"/>
      <c r="Y28" s="192"/>
      <c r="Z28" s="192"/>
      <c r="AA28" s="193"/>
    </row>
    <row r="29" spans="1:27" x14ac:dyDescent="0.2">
      <c r="A29" s="86"/>
      <c r="B29" s="102">
        <v>19</v>
      </c>
      <c r="C29" s="191"/>
      <c r="D29" s="192"/>
      <c r="E29" s="192"/>
      <c r="F29" s="192"/>
      <c r="G29" s="192"/>
      <c r="H29" s="192"/>
      <c r="I29" s="192"/>
      <c r="J29" s="192"/>
      <c r="K29" s="193"/>
      <c r="L29" s="192"/>
      <c r="M29" s="192"/>
      <c r="N29" s="192"/>
      <c r="O29" s="192"/>
      <c r="P29" s="192"/>
      <c r="Q29" s="192"/>
      <c r="R29" s="192"/>
      <c r="S29" s="193"/>
      <c r="T29" s="192"/>
      <c r="U29" s="192"/>
      <c r="V29" s="192"/>
      <c r="W29" s="192"/>
      <c r="X29" s="192"/>
      <c r="Y29" s="192"/>
      <c r="Z29" s="192"/>
      <c r="AA29" s="193"/>
    </row>
    <row r="30" spans="1:27" x14ac:dyDescent="0.2">
      <c r="A30" s="112"/>
      <c r="B30" s="139">
        <v>20</v>
      </c>
      <c r="C30" s="194"/>
      <c r="D30" s="195"/>
      <c r="E30" s="195"/>
      <c r="F30" s="195"/>
      <c r="G30" s="195"/>
      <c r="H30" s="195"/>
      <c r="I30" s="195"/>
      <c r="J30" s="195"/>
      <c r="K30" s="196"/>
      <c r="L30" s="195"/>
      <c r="M30" s="195"/>
      <c r="N30" s="195"/>
      <c r="O30" s="195"/>
      <c r="P30" s="195"/>
      <c r="Q30" s="195"/>
      <c r="R30" s="195"/>
      <c r="S30" s="196"/>
      <c r="T30" s="195"/>
      <c r="U30" s="195"/>
      <c r="V30" s="195"/>
      <c r="W30" s="195"/>
      <c r="X30" s="195"/>
      <c r="Y30" s="195"/>
      <c r="Z30" s="195"/>
      <c r="AA30" s="1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</vt:lpstr>
      <vt:lpstr>Calculations</vt:lpstr>
      <vt:lpstr>Conversions</vt:lpstr>
      <vt:lpstr>U Aql</vt:lpstr>
      <vt:lpstr>E7 Region</vt:lpstr>
      <vt:lpstr>Conversions!del_Cir_seq</vt:lpstr>
      <vt:lpstr>Conversions!del_Cir_seq_1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Blackford</dc:creator>
  <cp:lastModifiedBy>Steev</cp:lastModifiedBy>
  <dcterms:created xsi:type="dcterms:W3CDTF">2014-08-23T07:15:21Z</dcterms:created>
  <dcterms:modified xsi:type="dcterms:W3CDTF">2017-02-26T23:08:02Z</dcterms:modified>
</cp:coreProperties>
</file>