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prod-my.sharepoint.com/personal/serenap_mit_edu/Documents/GitHub/Thermal-Energy-System-Dispatch-and-Sizing-Optimization/"/>
    </mc:Choice>
  </mc:AlternateContent>
  <xr:revisionPtr revIDLastSave="7028" documentId="8_{4C666E02-6F46-7E49-991C-62610752428A}" xr6:coauthVersionLast="47" xr6:coauthVersionMax="47" xr10:uidLastSave="{9A552425-36A1-9444-9296-0BCF498F3E3D}"/>
  <bookViews>
    <workbookView xWindow="1940" yWindow="500" windowWidth="23540" windowHeight="15800" firstSheet="11" activeTab="18" xr2:uid="{E1CE3D44-A06A-A74B-9759-83EC2AB1486D}"/>
  </bookViews>
  <sheets>
    <sheet name="Parameters" sheetId="5" r:id="rId1"/>
    <sheet name="Coal Costs" sheetId="26" r:id="rId2"/>
    <sheet name="Calculation tank cost" sheetId="9" r:id="rId3"/>
    <sheet name="Calculation heat exchanger" sheetId="10" r:id="rId4"/>
    <sheet name="CEM" sheetId="24" r:id="rId5"/>
    <sheet name="Calculation salt pumps" sheetId="11" r:id="rId6"/>
    <sheet name="Calculation Upgrade Costs" sheetId="14" r:id="rId7"/>
    <sheet name="Calculations Aspen" sheetId="12" r:id="rId8"/>
    <sheet name="TES_FOM" sheetId="25" r:id="rId9"/>
    <sheet name="BESS" sheetId="16" r:id="rId10"/>
    <sheet name="DecommissioningCosts" sheetId="17" r:id="rId11"/>
    <sheet name="AspenInputs_Operating" sheetId="15" r:id="rId12"/>
    <sheet name="AspenInputs" sheetId="22" r:id="rId13"/>
    <sheet name="AspenInputs_2" sheetId="19" r:id="rId14"/>
    <sheet name="AspenInputs_500MW" sheetId="21" r:id="rId15"/>
    <sheet name="Qualitative Assumptions " sheetId="4" r:id="rId16"/>
    <sheet name="GenX_sources" sheetId="20" r:id="rId17"/>
    <sheet name="GenX" sheetId="18" r:id="rId18"/>
    <sheet name="Sources" sheetId="2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9" i="10" l="1"/>
  <c r="E3" i="26"/>
  <c r="E4" i="26"/>
  <c r="J5" i="26"/>
  <c r="H5" i="26"/>
  <c r="M11" i="24"/>
  <c r="L11" i="24"/>
  <c r="D11" i="24"/>
  <c r="D17" i="5"/>
  <c r="F19" i="24"/>
  <c r="F110" i="5"/>
  <c r="F107" i="5"/>
  <c r="G7" i="26"/>
  <c r="G6" i="26"/>
  <c r="C3" i="26"/>
  <c r="H4" i="26"/>
  <c r="C4" i="26"/>
  <c r="C5" i="26" l="1"/>
  <c r="L9" i="26" s="1"/>
  <c r="L5" i="26" l="1"/>
  <c r="L8" i="26"/>
  <c r="L7" i="26"/>
  <c r="L6" i="26"/>
  <c r="D24" i="5" l="1"/>
  <c r="D25" i="5"/>
  <c r="H111" i="5" l="1"/>
  <c r="I111" i="5" s="1"/>
  <c r="C113" i="5"/>
  <c r="H110" i="5"/>
  <c r="E5" i="26"/>
  <c r="L4" i="26" s="1"/>
  <c r="L3" i="26"/>
  <c r="G110" i="5"/>
  <c r="I107" i="5"/>
  <c r="I106" i="5"/>
  <c r="H107" i="5"/>
  <c r="H106" i="5"/>
  <c r="F108" i="5"/>
  <c r="F106" i="5"/>
  <c r="E109" i="5"/>
  <c r="E108" i="5"/>
  <c r="E107" i="5"/>
  <c r="E106" i="5"/>
  <c r="G6" i="25"/>
  <c r="G5" i="25"/>
  <c r="S6" i="10"/>
  <c r="F9" i="24"/>
  <c r="F11" i="24"/>
  <c r="F12" i="24"/>
  <c r="D69" i="5"/>
  <c r="D89" i="5"/>
  <c r="D13" i="11"/>
  <c r="D3" i="9"/>
  <c r="C18" i="14"/>
  <c r="C12" i="25"/>
  <c r="L44" i="12"/>
  <c r="C20" i="14"/>
  <c r="C19" i="14"/>
  <c r="M44" i="12"/>
  <c r="D7" i="11"/>
  <c r="D6" i="11"/>
  <c r="D5" i="11"/>
  <c r="D4" i="11"/>
  <c r="D7" i="9"/>
  <c r="D5" i="9"/>
  <c r="D6" i="9"/>
  <c r="D4" i="9"/>
  <c r="P5" i="9"/>
  <c r="S2" i="10"/>
  <c r="E11" i="24"/>
  <c r="D93" i="5"/>
  <c r="D91" i="5"/>
  <c r="D90" i="5"/>
  <c r="D88" i="5"/>
  <c r="D87" i="5"/>
  <c r="G12" i="24"/>
  <c r="G11" i="24"/>
  <c r="J11" i="24"/>
  <c r="I12" i="24"/>
  <c r="J12" i="24" s="1"/>
  <c r="I11" i="24"/>
  <c r="I9" i="24"/>
  <c r="I7" i="24"/>
  <c r="H13" i="24"/>
  <c r="H12" i="24"/>
  <c r="H11" i="24"/>
  <c r="H10" i="24"/>
  <c r="G9" i="24"/>
  <c r="H9" i="24"/>
  <c r="D12" i="24"/>
  <c r="E13" i="24"/>
  <c r="E12" i="24"/>
  <c r="F18" i="24"/>
  <c r="F20" i="24"/>
  <c r="E9" i="24"/>
  <c r="D9" i="24"/>
  <c r="I114" i="5" l="1"/>
  <c r="I110" i="5"/>
  <c r="AH11" i="10"/>
  <c r="AH10" i="10"/>
  <c r="AH9" i="10"/>
  <c r="L46" i="12"/>
  <c r="L47" i="12" s="1"/>
  <c r="L43" i="12"/>
  <c r="S4" i="10" l="1"/>
  <c r="D40" i="5"/>
  <c r="B18" i="11"/>
  <c r="D41" i="5"/>
  <c r="D42" i="5"/>
  <c r="D38" i="5"/>
  <c r="D37" i="5"/>
  <c r="D36" i="5"/>
  <c r="S3" i="10"/>
  <c r="S8" i="10"/>
  <c r="S7" i="10"/>
  <c r="AA11" i="10"/>
  <c r="AA10" i="10"/>
  <c r="AA9" i="10"/>
  <c r="D24" i="12"/>
  <c r="H31" i="20" l="1"/>
  <c r="H29" i="20"/>
  <c r="I31" i="20"/>
  <c r="J31" i="20"/>
  <c r="F29" i="20"/>
  <c r="D36" i="20"/>
  <c r="L11" i="14" s="1"/>
  <c r="L12" i="14" s="1"/>
  <c r="N29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3" i="20"/>
  <c r="C9" i="16"/>
  <c r="I29" i="20"/>
  <c r="J29" i="20"/>
  <c r="I20" i="15"/>
  <c r="I21" i="15"/>
  <c r="I22" i="15"/>
  <c r="I23" i="15"/>
  <c r="I24" i="15"/>
  <c r="I25" i="15"/>
  <c r="I19" i="15"/>
  <c r="L9" i="14"/>
  <c r="L13" i="14"/>
  <c r="L10" i="14"/>
  <c r="M8" i="22"/>
  <c r="L8" i="22"/>
  <c r="K8" i="22"/>
  <c r="J8" i="22"/>
  <c r="I8" i="22"/>
  <c r="H8" i="22"/>
  <c r="G8" i="22"/>
  <c r="M7" i="22"/>
  <c r="L7" i="22"/>
  <c r="K7" i="22"/>
  <c r="J7" i="22"/>
  <c r="I7" i="22"/>
  <c r="H7" i="22"/>
  <c r="G7" i="22"/>
  <c r="H5" i="22"/>
  <c r="I5" i="22"/>
  <c r="J5" i="22"/>
  <c r="K5" i="22"/>
  <c r="L5" i="22"/>
  <c r="M5" i="22"/>
  <c r="G5" i="22"/>
  <c r="H6" i="22"/>
  <c r="G6" i="22"/>
  <c r="D5" i="15"/>
  <c r="V4" i="18"/>
  <c r="U4" i="18"/>
  <c r="T4" i="18"/>
  <c r="S4" i="18" s="1"/>
  <c r="D20" i="10"/>
  <c r="D19" i="10"/>
  <c r="D12" i="10"/>
  <c r="AV7" i="12"/>
  <c r="D15" i="10"/>
  <c r="K4" i="20" l="1"/>
  <c r="L4" i="20" s="1"/>
  <c r="K12" i="20"/>
  <c r="L12" i="20" s="1"/>
  <c r="K9" i="20"/>
  <c r="L9" i="20" s="1"/>
  <c r="K8" i="20"/>
  <c r="K7" i="20"/>
  <c r="L7" i="20" s="1"/>
  <c r="K23" i="20"/>
  <c r="L23" i="20" s="1"/>
  <c r="K15" i="20"/>
  <c r="L15" i="20" s="1"/>
  <c r="D32" i="20"/>
  <c r="K22" i="20"/>
  <c r="L22" i="20" s="1"/>
  <c r="K14" i="20"/>
  <c r="L14" i="20" s="1"/>
  <c r="K6" i="20"/>
  <c r="L6" i="20" s="1"/>
  <c r="K19" i="20"/>
  <c r="L19" i="20" s="1"/>
  <c r="K18" i="20"/>
  <c r="L18" i="20" s="1"/>
  <c r="K25" i="20"/>
  <c r="L25" i="20" s="1"/>
  <c r="K24" i="20"/>
  <c r="L24" i="20" s="1"/>
  <c r="K21" i="20"/>
  <c r="L21" i="20" s="1"/>
  <c r="K13" i="20"/>
  <c r="L13" i="20" s="1"/>
  <c r="K5" i="20"/>
  <c r="L5" i="20" s="1"/>
  <c r="K27" i="20"/>
  <c r="L27" i="20" s="1"/>
  <c r="K11" i="20"/>
  <c r="L11" i="20" s="1"/>
  <c r="K26" i="20"/>
  <c r="L26" i="20" s="1"/>
  <c r="K10" i="20"/>
  <c r="L10" i="20" s="1"/>
  <c r="K17" i="20"/>
  <c r="L17" i="20" s="1"/>
  <c r="K16" i="20"/>
  <c r="L16" i="20" s="1"/>
  <c r="K3" i="20"/>
  <c r="L3" i="20" s="1"/>
  <c r="K28" i="20"/>
  <c r="L28" i="20" s="1"/>
  <c r="K20" i="20"/>
  <c r="L20" i="20" s="1"/>
  <c r="D18" i="5"/>
  <c r="D19" i="9"/>
  <c r="D30" i="5"/>
  <c r="D22" i="5"/>
  <c r="P4" i="18" l="1"/>
  <c r="L8" i="20"/>
  <c r="L29" i="20" s="1"/>
  <c r="K29" i="20"/>
  <c r="D50" i="5"/>
  <c r="D56" i="5"/>
  <c r="D55" i="5"/>
  <c r="K44" i="11"/>
  <c r="K45" i="11"/>
  <c r="K46" i="11"/>
  <c r="K47" i="11"/>
  <c r="K48" i="11"/>
  <c r="K49" i="11"/>
  <c r="K50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4" i="11"/>
  <c r="K5" i="11"/>
  <c r="K6" i="11"/>
  <c r="K7" i="11"/>
  <c r="K8" i="11"/>
  <c r="K9" i="11"/>
  <c r="K10" i="11"/>
  <c r="K3" i="11"/>
  <c r="D74" i="5" l="1"/>
  <c r="C11" i="16"/>
  <c r="D10" i="16"/>
  <c r="C10" i="16"/>
  <c r="E9" i="16"/>
  <c r="E8" i="16"/>
  <c r="D9" i="16"/>
  <c r="D8" i="16"/>
  <c r="C8" i="16"/>
  <c r="D16" i="17" l="1"/>
  <c r="D15" i="17"/>
  <c r="E5" i="15"/>
  <c r="E6" i="15"/>
  <c r="M6" i="15"/>
  <c r="L6" i="15"/>
  <c r="K6" i="15"/>
  <c r="J6" i="15"/>
  <c r="I6" i="15"/>
  <c r="H6" i="15"/>
  <c r="G6" i="15"/>
  <c r="J7" i="15"/>
  <c r="I7" i="15"/>
  <c r="H7" i="15"/>
  <c r="M43" i="12"/>
  <c r="AD12" i="12" s="1"/>
  <c r="AA25" i="12"/>
  <c r="AA24" i="12"/>
  <c r="AA22" i="12"/>
  <c r="AA21" i="12"/>
  <c r="AA19" i="12"/>
  <c r="AA18" i="12"/>
  <c r="AA16" i="12"/>
  <c r="AA15" i="12"/>
  <c r="AA13" i="12"/>
  <c r="AA12" i="12"/>
  <c r="AA10" i="12"/>
  <c r="AA9" i="12"/>
  <c r="AA7" i="12"/>
  <c r="AA6" i="12"/>
  <c r="Z25" i="12"/>
  <c r="Z24" i="12"/>
  <c r="Z22" i="12"/>
  <c r="Z21" i="12"/>
  <c r="Z19" i="12"/>
  <c r="Z18" i="12"/>
  <c r="Z16" i="12"/>
  <c r="Z15" i="12"/>
  <c r="Z13" i="12"/>
  <c r="Z12" i="12"/>
  <c r="Z10" i="12"/>
  <c r="Z9" i="12"/>
  <c r="Z7" i="12"/>
  <c r="X25" i="12"/>
  <c r="X24" i="12"/>
  <c r="X22" i="12"/>
  <c r="X21" i="12"/>
  <c r="X19" i="12"/>
  <c r="X18" i="12"/>
  <c r="X16" i="12"/>
  <c r="X15" i="12"/>
  <c r="X13" i="12"/>
  <c r="X12" i="12"/>
  <c r="X10" i="12"/>
  <c r="X9" i="12"/>
  <c r="AC25" i="12"/>
  <c r="AC12" i="12"/>
  <c r="AC13" i="12"/>
  <c r="AC15" i="12"/>
  <c r="AC16" i="12"/>
  <c r="AC18" i="12"/>
  <c r="AC19" i="12"/>
  <c r="AC21" i="12"/>
  <c r="AC22" i="12"/>
  <c r="AC23" i="12"/>
  <c r="AC24" i="12"/>
  <c r="AC10" i="12"/>
  <c r="AC9" i="12"/>
  <c r="AC7" i="12"/>
  <c r="AC6" i="12"/>
  <c r="Z6" i="12"/>
  <c r="X7" i="12"/>
  <c r="G7" i="15" s="1"/>
  <c r="X6" i="12"/>
  <c r="C6" i="14"/>
  <c r="K5" i="15" l="1"/>
  <c r="L5" i="15"/>
  <c r="M5" i="15"/>
  <c r="G5" i="15"/>
  <c r="F5" i="15"/>
  <c r="H5" i="15"/>
  <c r="I5" i="15"/>
  <c r="J5" i="15"/>
  <c r="C17" i="14"/>
  <c r="AD6" i="12"/>
  <c r="M46" i="12"/>
  <c r="M45" i="12"/>
  <c r="L45" i="12"/>
  <c r="D70" i="5" s="1"/>
  <c r="X27" i="11"/>
  <c r="V27" i="11"/>
  <c r="X26" i="11"/>
  <c r="V26" i="11"/>
  <c r="N3" i="11"/>
  <c r="J3" i="11" s="1"/>
  <c r="D16" i="10"/>
  <c r="D17" i="10" s="1"/>
  <c r="D18" i="10" s="1"/>
  <c r="D15" i="9"/>
  <c r="D23" i="12"/>
  <c r="D59" i="5" s="1"/>
  <c r="L15" i="10" s="1"/>
  <c r="L16" i="10" s="1"/>
  <c r="D20" i="12"/>
  <c r="D19" i="12"/>
  <c r="D22" i="12"/>
  <c r="P3" i="11" l="1"/>
  <c r="M15" i="10"/>
  <c r="D21" i="12"/>
  <c r="W4" i="18" s="1"/>
  <c r="M16" i="10" l="1"/>
  <c r="D29" i="5"/>
  <c r="D14" i="9" s="1"/>
  <c r="D20" i="9" s="1"/>
  <c r="D51" i="5"/>
  <c r="M3" i="11"/>
  <c r="O3" i="11" s="1"/>
  <c r="Q3" i="11" s="1"/>
  <c r="L4" i="11"/>
  <c r="N4" i="11" s="1"/>
  <c r="D9" i="10"/>
  <c r="D16" i="9"/>
  <c r="K23" i="9"/>
  <c r="D9" i="9" s="1"/>
  <c r="K20" i="9"/>
  <c r="D8" i="9" s="1"/>
  <c r="P10" i="9"/>
  <c r="P9" i="9"/>
  <c r="D32" i="9" s="1"/>
  <c r="P8" i="9"/>
  <c r="P7" i="9"/>
  <c r="P6" i="9"/>
  <c r="L17" i="10" l="1"/>
  <c r="L18" i="10" s="1"/>
  <c r="M17" i="10"/>
  <c r="M18" i="10" s="1"/>
  <c r="J4" i="11"/>
  <c r="P4" i="11"/>
  <c r="D49" i="5"/>
  <c r="D21" i="9"/>
  <c r="D23" i="9" s="1"/>
  <c r="L5" i="11"/>
  <c r="M4" i="11"/>
  <c r="M5" i="11" l="1"/>
  <c r="O4" i="11"/>
  <c r="Q4" i="11" s="1"/>
  <c r="L6" i="11"/>
  <c r="N5" i="11"/>
  <c r="D22" i="9"/>
  <c r="D33" i="9" s="1"/>
  <c r="D24" i="9" l="1"/>
  <c r="D28" i="9" s="1"/>
  <c r="J5" i="11"/>
  <c r="P5" i="11"/>
  <c r="D25" i="9"/>
  <c r="D27" i="9" s="1"/>
  <c r="L7" i="11"/>
  <c r="N6" i="11"/>
  <c r="M6" i="11"/>
  <c r="O5" i="11"/>
  <c r="Q5" i="11" s="1"/>
  <c r="D29" i="9" l="1"/>
  <c r="D30" i="9" s="1"/>
  <c r="D31" i="9" s="1"/>
  <c r="D32" i="5" s="1"/>
  <c r="D38" i="9"/>
  <c r="J6" i="11"/>
  <c r="P6" i="11"/>
  <c r="D26" i="9"/>
  <c r="M7" i="11"/>
  <c r="O6" i="11"/>
  <c r="Q6" i="11" s="1"/>
  <c r="L8" i="11"/>
  <c r="N7" i="11"/>
  <c r="D39" i="9" l="1"/>
  <c r="J7" i="11"/>
  <c r="P7" i="11"/>
  <c r="L9" i="11"/>
  <c r="N8" i="11"/>
  <c r="M8" i="11"/>
  <c r="O7" i="11"/>
  <c r="Q7" i="11" s="1"/>
  <c r="J8" i="11" l="1"/>
  <c r="P8" i="11"/>
  <c r="M9" i="11"/>
  <c r="O8" i="11"/>
  <c r="Q8" i="11" s="1"/>
  <c r="L10" i="11"/>
  <c r="N9" i="11"/>
  <c r="J9" i="11" l="1"/>
  <c r="P9" i="11"/>
  <c r="N10" i="11"/>
  <c r="L11" i="11"/>
  <c r="M10" i="11"/>
  <c r="O9" i="11"/>
  <c r="Q9" i="11" s="1"/>
  <c r="J10" i="11" l="1"/>
  <c r="P10" i="11"/>
  <c r="M11" i="11"/>
  <c r="O10" i="11"/>
  <c r="Q10" i="11" s="1"/>
  <c r="L12" i="11"/>
  <c r="N11" i="11"/>
  <c r="J11" i="11" l="1"/>
  <c r="P11" i="11"/>
  <c r="L13" i="11"/>
  <c r="N12" i="11"/>
  <c r="M12" i="11"/>
  <c r="O11" i="11"/>
  <c r="Q11" i="11" s="1"/>
  <c r="J12" i="11" l="1"/>
  <c r="P12" i="11"/>
  <c r="M13" i="11"/>
  <c r="O12" i="11"/>
  <c r="Q12" i="11" s="1"/>
  <c r="L14" i="11"/>
  <c r="N13" i="11"/>
  <c r="J13" i="11" l="1"/>
  <c r="P13" i="11"/>
  <c r="L15" i="11"/>
  <c r="N14" i="11"/>
  <c r="M14" i="11"/>
  <c r="O13" i="11"/>
  <c r="Q13" i="11" s="1"/>
  <c r="J14" i="11" l="1"/>
  <c r="P14" i="11"/>
  <c r="M15" i="11"/>
  <c r="O14" i="11"/>
  <c r="Q14" i="11" s="1"/>
  <c r="L16" i="11"/>
  <c r="N15" i="11"/>
  <c r="J15" i="11" l="1"/>
  <c r="P15" i="11"/>
  <c r="L17" i="11"/>
  <c r="N16" i="11"/>
  <c r="M16" i="11"/>
  <c r="O15" i="11"/>
  <c r="Q15" i="11" s="1"/>
  <c r="J16" i="11" l="1"/>
  <c r="P16" i="11"/>
  <c r="M17" i="11"/>
  <c r="O16" i="11"/>
  <c r="Q16" i="11" s="1"/>
  <c r="L18" i="11"/>
  <c r="N17" i="11"/>
  <c r="J17" i="11" l="1"/>
  <c r="P17" i="11"/>
  <c r="L19" i="11"/>
  <c r="N18" i="11"/>
  <c r="M18" i="11"/>
  <c r="O17" i="11"/>
  <c r="Q17" i="11" s="1"/>
  <c r="J18" i="11" l="1"/>
  <c r="P18" i="11"/>
  <c r="M19" i="11"/>
  <c r="O18" i="11"/>
  <c r="Q18" i="11" s="1"/>
  <c r="L20" i="11"/>
  <c r="N19" i="11"/>
  <c r="J19" i="11" l="1"/>
  <c r="P19" i="11"/>
  <c r="L21" i="11"/>
  <c r="N20" i="11"/>
  <c r="M20" i="11"/>
  <c r="O19" i="11"/>
  <c r="Q19" i="11" s="1"/>
  <c r="J20" i="11" l="1"/>
  <c r="P20" i="11"/>
  <c r="M21" i="11"/>
  <c r="O20" i="11"/>
  <c r="Q20" i="11" s="1"/>
  <c r="N21" i="11"/>
  <c r="L22" i="11"/>
  <c r="J21" i="11" l="1"/>
  <c r="P21" i="11"/>
  <c r="L23" i="11"/>
  <c r="N22" i="11"/>
  <c r="M22" i="11"/>
  <c r="O21" i="11"/>
  <c r="Q21" i="11" s="1"/>
  <c r="J22" i="11" l="1"/>
  <c r="P22" i="11"/>
  <c r="N23" i="11"/>
  <c r="L24" i="11"/>
  <c r="M23" i="11"/>
  <c r="O22" i="11"/>
  <c r="Q22" i="11" s="1"/>
  <c r="O23" i="11" l="1"/>
  <c r="Q23" i="11" s="1"/>
  <c r="V28" i="11" s="1"/>
  <c r="M24" i="11"/>
  <c r="L25" i="11"/>
  <c r="N24" i="11"/>
  <c r="J23" i="11"/>
  <c r="P23" i="11"/>
  <c r="U28" i="11" s="1"/>
  <c r="J24" i="11" l="1"/>
  <c r="P24" i="11"/>
  <c r="N25" i="11"/>
  <c r="L26" i="11"/>
  <c r="M25" i="11"/>
  <c r="O24" i="11"/>
  <c r="Q24" i="11" s="1"/>
  <c r="M26" i="11" l="1"/>
  <c r="O25" i="11"/>
  <c r="Q25" i="11" s="1"/>
  <c r="N26" i="11"/>
  <c r="L27" i="11"/>
  <c r="J25" i="11"/>
  <c r="P25" i="11"/>
  <c r="L28" i="11" l="1"/>
  <c r="N27" i="11"/>
  <c r="J26" i="11"/>
  <c r="P26" i="11"/>
  <c r="M27" i="11"/>
  <c r="O26" i="11"/>
  <c r="Q26" i="11" s="1"/>
  <c r="M28" i="11" l="1"/>
  <c r="O27" i="11"/>
  <c r="Q27" i="11" s="1"/>
  <c r="J27" i="11"/>
  <c r="P27" i="11"/>
  <c r="L29" i="11"/>
  <c r="N28" i="11"/>
  <c r="J28" i="11" l="1"/>
  <c r="P28" i="11"/>
  <c r="N29" i="11"/>
  <c r="L30" i="11"/>
  <c r="M29" i="11"/>
  <c r="O28" i="11"/>
  <c r="Q28" i="11" s="1"/>
  <c r="M30" i="11" l="1"/>
  <c r="O29" i="11"/>
  <c r="Q29" i="11" s="1"/>
  <c r="L31" i="11"/>
  <c r="N30" i="11"/>
  <c r="J29" i="11"/>
  <c r="P29" i="11"/>
  <c r="J30" i="11" l="1"/>
  <c r="P30" i="11"/>
  <c r="L32" i="11"/>
  <c r="N31" i="11"/>
  <c r="M31" i="11"/>
  <c r="O30" i="11"/>
  <c r="Q30" i="11" s="1"/>
  <c r="M32" i="11" l="1"/>
  <c r="O31" i="11"/>
  <c r="Q31" i="11" s="1"/>
  <c r="J31" i="11"/>
  <c r="P31" i="11"/>
  <c r="L33" i="11"/>
  <c r="N32" i="11"/>
  <c r="J32" i="11" l="1"/>
  <c r="P32" i="11"/>
  <c r="L34" i="11"/>
  <c r="N33" i="11"/>
  <c r="M33" i="11"/>
  <c r="O32" i="11"/>
  <c r="Q32" i="11" s="1"/>
  <c r="M34" i="11" l="1"/>
  <c r="O33" i="11"/>
  <c r="Q33" i="11" s="1"/>
  <c r="J33" i="11"/>
  <c r="P33" i="11"/>
  <c r="L35" i="11"/>
  <c r="N34" i="11"/>
  <c r="J34" i="11" l="1"/>
  <c r="P34" i="11"/>
  <c r="L36" i="11"/>
  <c r="N35" i="11"/>
  <c r="M35" i="11"/>
  <c r="O34" i="11"/>
  <c r="Q34" i="11" s="1"/>
  <c r="M36" i="11" l="1"/>
  <c r="O35" i="11"/>
  <c r="Q35" i="11" s="1"/>
  <c r="J35" i="11"/>
  <c r="P35" i="11"/>
  <c r="L37" i="11"/>
  <c r="N36" i="11"/>
  <c r="J36" i="11" l="1"/>
  <c r="P36" i="11"/>
  <c r="L38" i="11"/>
  <c r="N37" i="11"/>
  <c r="M37" i="11"/>
  <c r="O36" i="11"/>
  <c r="Q36" i="11" s="1"/>
  <c r="M38" i="11" l="1"/>
  <c r="O37" i="11"/>
  <c r="Q37" i="11" s="1"/>
  <c r="J37" i="11"/>
  <c r="P37" i="11"/>
  <c r="L39" i="11"/>
  <c r="N38" i="11"/>
  <c r="J38" i="11" l="1"/>
  <c r="P38" i="11"/>
  <c r="N39" i="11"/>
  <c r="L40" i="11"/>
  <c r="M39" i="11"/>
  <c r="O38" i="11"/>
  <c r="Q38" i="11" s="1"/>
  <c r="M40" i="11" l="1"/>
  <c r="O39" i="11"/>
  <c r="Q39" i="11" s="1"/>
  <c r="L41" i="11"/>
  <c r="N40" i="11"/>
  <c r="J39" i="11"/>
  <c r="P39" i="11"/>
  <c r="J40" i="11" l="1"/>
  <c r="P40" i="11"/>
  <c r="L42" i="11"/>
  <c r="N41" i="11"/>
  <c r="M41" i="11"/>
  <c r="O40" i="11"/>
  <c r="Q40" i="11" s="1"/>
  <c r="M42" i="11" l="1"/>
  <c r="O41" i="11"/>
  <c r="Q41" i="11" s="1"/>
  <c r="J41" i="11"/>
  <c r="P41" i="11"/>
  <c r="L43" i="11"/>
  <c r="N42" i="11"/>
  <c r="J42" i="11" l="1"/>
  <c r="P42" i="11"/>
  <c r="L44" i="11"/>
  <c r="N43" i="11"/>
  <c r="M43" i="11"/>
  <c r="O42" i="11"/>
  <c r="Q42" i="11" s="1"/>
  <c r="M44" i="11" l="1"/>
  <c r="O43" i="11"/>
  <c r="Q43" i="11" s="1"/>
  <c r="J43" i="11"/>
  <c r="P43" i="11"/>
  <c r="L45" i="11"/>
  <c r="N44" i="11"/>
  <c r="J44" i="11" l="1"/>
  <c r="P44" i="11"/>
  <c r="L46" i="11"/>
  <c r="N45" i="11"/>
  <c r="M45" i="11"/>
  <c r="O44" i="11"/>
  <c r="Q44" i="11" s="1"/>
  <c r="M46" i="11" l="1"/>
  <c r="O45" i="11"/>
  <c r="Q45" i="11" s="1"/>
  <c r="J45" i="11"/>
  <c r="P45" i="11"/>
  <c r="L47" i="11"/>
  <c r="N46" i="11"/>
  <c r="L48" i="11" l="1"/>
  <c r="N47" i="11"/>
  <c r="J46" i="11"/>
  <c r="P46" i="11"/>
  <c r="M47" i="11"/>
  <c r="O46" i="11"/>
  <c r="Q46" i="11" s="1"/>
  <c r="M48" i="11" l="1"/>
  <c r="O47" i="11"/>
  <c r="Q47" i="11" s="1"/>
  <c r="J47" i="11"/>
  <c r="P47" i="11"/>
  <c r="L49" i="11"/>
  <c r="N48" i="11"/>
  <c r="J48" i="11" l="1"/>
  <c r="P48" i="11"/>
  <c r="L50" i="11"/>
  <c r="N50" i="11" s="1"/>
  <c r="N49" i="11"/>
  <c r="M49" i="11"/>
  <c r="O48" i="11"/>
  <c r="Q48" i="11" s="1"/>
  <c r="O49" i="11" l="1"/>
  <c r="Q49" i="11" s="1"/>
  <c r="M50" i="11"/>
  <c r="O50" i="11" s="1"/>
  <c r="Q50" i="11" s="1"/>
  <c r="J49" i="11"/>
  <c r="P49" i="11"/>
  <c r="J50" i="11"/>
  <c r="P50" i="11"/>
</calcChain>
</file>

<file path=xl/sharedStrings.xml><?xml version="1.0" encoding="utf-8"?>
<sst xmlns="http://schemas.openxmlformats.org/spreadsheetml/2006/main" count="1850" uniqueCount="1153">
  <si>
    <t>Component</t>
  </si>
  <si>
    <t>Variable Name</t>
  </si>
  <si>
    <t>Value</t>
  </si>
  <si>
    <t>Units</t>
  </si>
  <si>
    <t>Description</t>
  </si>
  <si>
    <t>Source ID</t>
  </si>
  <si>
    <t>Notes</t>
  </si>
  <si>
    <t>To-do</t>
  </si>
  <si>
    <t>Price Profile</t>
  </si>
  <si>
    <t>fname_price</t>
  </si>
  <si>
    <t>N/A</t>
  </si>
  <si>
    <t>$/MWh</t>
  </si>
  <si>
    <t>path for the CSV filename pointing to the energy price profile csv file</t>
  </si>
  <si>
    <t xml:space="preserve">[1], [2] </t>
  </si>
  <si>
    <t xml:space="preserve">This filename changes based on the price profile input
</t>
  </si>
  <si>
    <t>fname_solar</t>
  </si>
  <si>
    <t>fname_wind</t>
  </si>
  <si>
    <t>fname_demand</t>
  </si>
  <si>
    <t>Representative Weeks</t>
  </si>
  <si>
    <t>fname_w</t>
  </si>
  <si>
    <t>&lt;string&gt;</t>
  </si>
  <si>
    <t>path for filename pointing to the weights of the clustered price profile</t>
  </si>
  <si>
    <t xml:space="preserve">This filename changes based on the associated price profile input, and is conditional on if this uses representative weeks </t>
  </si>
  <si>
    <t>fname_map</t>
  </si>
  <si>
    <t>path for the filename pointing to the mapping of clusters to each week in the year</t>
  </si>
  <si>
    <t>fname_modeled_indices</t>
  </si>
  <si>
    <t xml:space="preserve">path for the filename pointing to the indices of the weeks in the year that are centroids of the representative weeks </t>
  </si>
  <si>
    <t>W</t>
  </si>
  <si>
    <t>weeks</t>
  </si>
  <si>
    <t>Number of weeks in the year</t>
  </si>
  <si>
    <t>conditional on if this uses representative weeks</t>
  </si>
  <si>
    <t>T</t>
  </si>
  <si>
    <t>hours</t>
  </si>
  <si>
    <t xml:space="preserve">Number of hours in a week </t>
  </si>
  <si>
    <t>N</t>
  </si>
  <si>
    <t xml:space="preserve">Number of representative weeks </t>
  </si>
  <si>
    <t>23 representative weeks were chosen, because it best represented the original hourly price profile compared to using 5 to 25 representative weeks</t>
  </si>
  <si>
    <t>Coal Plant</t>
  </si>
  <si>
    <t>flowSteam_peak</t>
  </si>
  <si>
    <t>tonne/s</t>
  </si>
  <si>
    <t>peak steam flow rate, set by coal plant datasheets</t>
  </si>
  <si>
    <t>[3], [4], [5]</t>
  </si>
  <si>
    <t>Tsteam_peak</t>
  </si>
  <si>
    <t>C</t>
  </si>
  <si>
    <t xml:space="preserve">peak steam temperature </t>
  </si>
  <si>
    <t>[3],[4]</t>
  </si>
  <si>
    <t>minpower_fraction</t>
  </si>
  <si>
    <t>[0 - 1]</t>
  </si>
  <si>
    <t>minimum power fraction, set by the original coal plant</t>
  </si>
  <si>
    <t>[6], [7]</t>
  </si>
  <si>
    <t>start_up_fuel</t>
  </si>
  <si>
    <t>MWh per MW</t>
  </si>
  <si>
    <t>[8]</t>
  </si>
  <si>
    <t>start_cost</t>
  </si>
  <si>
    <t>$1k/MW</t>
  </si>
  <si>
    <t xml:space="preserve">cold start-up cost, associated with the start-up costs from auxiliary power consumption, water chemistry and other non-fuel expenditures documented by coal plants </t>
  </si>
  <si>
    <t>[8], [20], [34]</t>
  </si>
  <si>
    <t xml:space="preserve">Based off start up costs for CSP facility, which are 10% of coal plants. Coal plants cold start up costs not including fuel start up costs are in the range of 10.15 to $11.58 / MW 
6520 $/start for a 163 MW x 2 hybrid CSP system </t>
  </si>
  <si>
    <t>powerPeak</t>
  </si>
  <si>
    <t>MW</t>
  </si>
  <si>
    <t xml:space="preserve">interconnection capacity, set by the original facility </t>
  </si>
  <si>
    <t>[4], [12], [13]</t>
  </si>
  <si>
    <t>interchangable with dischargepowerPeak</t>
  </si>
  <si>
    <t>chargerpowerPeak</t>
  </si>
  <si>
    <t>ramp_rate_min</t>
  </si>
  <si>
    <t>ramp rate as % per hour, set by the original coal plant</t>
  </si>
  <si>
    <t>coal_FOM</t>
  </si>
  <si>
    <t>$1k/MW_e/year</t>
  </si>
  <si>
    <t>Annual fixed operating cost per MW_e for subcritical unit in 2030 (supercritical is 0.2 cr/MW/year)</t>
  </si>
  <si>
    <t>[4] , [31]</t>
  </si>
  <si>
    <t>emissions_rate</t>
  </si>
  <si>
    <t>tonnes / MWh</t>
  </si>
  <si>
    <t>Emissions rate of coal plant (not applied)</t>
  </si>
  <si>
    <t>[3]</t>
  </si>
  <si>
    <t>coal_fuel_cost</t>
  </si>
  <si>
    <t>$1k/MWh</t>
  </si>
  <si>
    <t>[4]</t>
  </si>
  <si>
    <t>coal_VOM</t>
  </si>
  <si>
    <t>$1k / MWh</t>
  </si>
  <si>
    <t>aux_coal</t>
  </si>
  <si>
    <t>[0-1]</t>
  </si>
  <si>
    <t>Aux consumption of the coal plant</t>
  </si>
  <si>
    <t>upgrade_cost</t>
  </si>
  <si>
    <t>$1k</t>
  </si>
  <si>
    <t xml:space="preserve">cost toward upgrading the coal plant to extend the life of the steam-turbine power block if it needs upgrades </t>
  </si>
  <si>
    <t>[28]</t>
  </si>
  <si>
    <t>life</t>
  </si>
  <si>
    <t>years</t>
  </si>
  <si>
    <t xml:space="preserve">remaining lifetime of the existing infrastructure, in years (25 years for TES, 15 years for Trombay, though if 60 yrs realistic. Choosing 25 ) </t>
  </si>
  <si>
    <t>Salt Characteristics</t>
  </si>
  <si>
    <t>T_hot</t>
  </si>
  <si>
    <t>K</t>
  </si>
  <si>
    <t>Temperature of the hot salt</t>
  </si>
  <si>
    <t xml:space="preserve">[9] </t>
  </si>
  <si>
    <t>Characteristics for Solar Salt (NaNO3:KNO3) at 60:40 ratio</t>
  </si>
  <si>
    <t>T_cold</t>
  </si>
  <si>
    <t>Temperature of the cold salt</t>
  </si>
  <si>
    <t>cp</t>
  </si>
  <si>
    <t>MJ/tonne-K
(kJ/kgK)</t>
  </si>
  <si>
    <t>heat capacity of the salt</t>
  </si>
  <si>
    <t>[9], [10]</t>
  </si>
  <si>
    <t xml:space="preserve">Storage Tank </t>
  </si>
  <si>
    <t>cost_tank</t>
  </si>
  <si>
    <t>$1k/MWh_t</t>
  </si>
  <si>
    <t xml:space="preserve">calculated parameter, in 1000 USD per MWh thermal </t>
  </si>
  <si>
    <t>[9],[10],[11],[17],[14],[15],[16]</t>
  </si>
  <si>
    <t>Reference "Calculation tank cost"</t>
  </si>
  <si>
    <t>min_hours</t>
  </si>
  <si>
    <t>minimum hours of storage</t>
  </si>
  <si>
    <t>alpha_hot</t>
  </si>
  <si>
    <t>self discharge rate per hour for the thermal storage system (1% per day)</t>
  </si>
  <si>
    <t>[22]</t>
  </si>
  <si>
    <t>Storage Component: Heat Exchanger</t>
  </si>
  <si>
    <t>c_base</t>
  </si>
  <si>
    <t>[9]</t>
  </si>
  <si>
    <t>c_base_1</t>
  </si>
  <si>
    <t>c_base_2</t>
  </si>
  <si>
    <t>evaporator</t>
  </si>
  <si>
    <t>c_base_3</t>
  </si>
  <si>
    <t>UA_base</t>
  </si>
  <si>
    <t>base UA value derived, calculations in "Calculation heat exchanger" sheet</t>
  </si>
  <si>
    <t>UA_base_1</t>
  </si>
  <si>
    <t>MW/K</t>
  </si>
  <si>
    <t>superheater</t>
  </si>
  <si>
    <t>UA_base_2</t>
  </si>
  <si>
    <t>UA_base_3</t>
  </si>
  <si>
    <t>economizer</t>
  </si>
  <si>
    <t>n_HX</t>
  </si>
  <si>
    <t>cost relationship</t>
  </si>
  <si>
    <t>n_HX_1</t>
  </si>
  <si>
    <t>n_HX_2</t>
  </si>
  <si>
    <t>n_HX_3</t>
  </si>
  <si>
    <t>UA_step</t>
  </si>
  <si>
    <t>MJ/s-K</t>
  </si>
  <si>
    <t>step size for piecewize linearization constraint</t>
  </si>
  <si>
    <t>Q_loss</t>
  </si>
  <si>
    <t>percentage of energy dissapated in heat exchanger, percentage of power output</t>
  </si>
  <si>
    <t>Storage Component: Salt Pumps</t>
  </si>
  <si>
    <t>pipes_valves_cost</t>
  </si>
  <si>
    <t>$1k/MW_e</t>
  </si>
  <si>
    <t>see calculations in "Calculation tank cost" sheet. Scales with power output</t>
  </si>
  <si>
    <t>[11]</t>
  </si>
  <si>
    <t>hotpump_slope</t>
  </si>
  <si>
    <t>$1k/kW_e</t>
  </si>
  <si>
    <t>see calculations in "Calculation salt pumps" sheet</t>
  </si>
  <si>
    <t>[23]</t>
  </si>
  <si>
    <t>hotpump_intercept</t>
  </si>
  <si>
    <t>h</t>
  </si>
  <si>
    <t>m</t>
  </si>
  <si>
    <t>head</t>
  </si>
  <si>
    <t>[24]</t>
  </si>
  <si>
    <t>g</t>
  </si>
  <si>
    <t xml:space="preserve">m/s^2 </t>
  </si>
  <si>
    <t>gravitational constant</t>
  </si>
  <si>
    <t>pump_eff</t>
  </si>
  <si>
    <t>efficiency of the pump</t>
  </si>
  <si>
    <t>coldpump_slope</t>
  </si>
  <si>
    <t>coldpump_intercept</t>
  </si>
  <si>
    <t>Charger</t>
  </si>
  <si>
    <t>cost_charger</t>
  </si>
  <si>
    <t xml:space="preserve">cost of the resistive heater, 2020 </t>
  </si>
  <si>
    <t>[25]</t>
  </si>
  <si>
    <t>beta</t>
  </si>
  <si>
    <t>efficiency of the resistive heater</t>
  </si>
  <si>
    <t>Aspen Outputs: Molten Salt Retrofit</t>
  </si>
  <si>
    <t>deltaT_A</t>
  </si>
  <si>
    <t xml:space="preserve">K </t>
  </si>
  <si>
    <t>Temperature difference of two streams (steam and salt flows) at at end A in countercurrent heat exchanger. Calculations in "Calculations Aspen" sheet</t>
  </si>
  <si>
    <t>[26]</t>
  </si>
  <si>
    <t>deltaT_B</t>
  </si>
  <si>
    <t>deltaT_C</t>
  </si>
  <si>
    <t>deltaT_D</t>
  </si>
  <si>
    <t>Temperature difference between two streams (steam and salt flows) at end D in countercurrent heat exchanger. Calculations in "Calculations Aspen" sheet</t>
  </si>
  <si>
    <t>steam_eff</t>
  </si>
  <si>
    <t xml:space="preserve">[0 - 1] </t>
  </si>
  <si>
    <t>efficiency of steam turbine calculated by net power output divided by heat input from salt flow rate</t>
  </si>
  <si>
    <t>flowSalt_max</t>
  </si>
  <si>
    <t>tonnes/s</t>
  </si>
  <si>
    <t xml:space="preserve">maximum salt flow defined by aspen model output to achieve the specified power output (not used in optimization) </t>
  </si>
  <si>
    <t>ratio_Q1</t>
  </si>
  <si>
    <t>Ratio of heat exchanged in HX 1 to total heat exchanged</t>
  </si>
  <si>
    <t>ratio_Q2</t>
  </si>
  <si>
    <t>Ratio of heat exchanged in HX 2 to total heat exchanged</t>
  </si>
  <si>
    <t>ratio_Q3</t>
  </si>
  <si>
    <t>Ratio of heat exchanged in HX 3 to total heat exchanged</t>
  </si>
  <si>
    <t>Q_s</t>
  </si>
  <si>
    <t>MJ/tonne</t>
  </si>
  <si>
    <t>enthalpy change of the steam (not used in optimization)</t>
  </si>
  <si>
    <t>Other</t>
  </si>
  <si>
    <t>TES_FOM</t>
  </si>
  <si>
    <t>$1k / MW-year</t>
  </si>
  <si>
    <t>TES_VOM</t>
  </si>
  <si>
    <t>ir</t>
  </si>
  <si>
    <t>India's inflation rate</t>
  </si>
  <si>
    <t>[27]</t>
  </si>
  <si>
    <t>syn_con_rating</t>
  </si>
  <si>
    <t xml:space="preserve">MVArh/MW </t>
  </si>
  <si>
    <t>VAR support per MW of installed capacity (unused)</t>
  </si>
  <si>
    <t>[30]</t>
  </si>
  <si>
    <t>syn_con_comp</t>
  </si>
  <si>
    <t>$/kVARh</t>
  </si>
  <si>
    <t>compensation for VARS (unused)</t>
  </si>
  <si>
    <t>carbon_price</t>
  </si>
  <si>
    <t>$1k / tonne</t>
  </si>
  <si>
    <t>Price of carbon</t>
  </si>
  <si>
    <t>aux_TES</t>
  </si>
  <si>
    <t>Aux power consumption of MS facility</t>
  </si>
  <si>
    <t>M</t>
  </si>
  <si>
    <t>modeling parameter (big M notation)</t>
  </si>
  <si>
    <t>Optional: Regulatory Incentives</t>
  </si>
  <si>
    <t>gbi_subsidy</t>
  </si>
  <si>
    <t>$1k/MWh_e</t>
  </si>
  <si>
    <t>Generation Based Incentives - subsidy per MWh of electricity produced</t>
  </si>
  <si>
    <t>taxcredit</t>
  </si>
  <si>
    <t xml:space="preserve">Tax Credit amount, applied to capital cost </t>
  </si>
  <si>
    <t>Optional: Industrial Co-production</t>
  </si>
  <si>
    <t>x</t>
  </si>
  <si>
    <t>percentage of maximum rated power of power plant that goes to industrial load</t>
  </si>
  <si>
    <t>Q_ind, the industrial load, is set in the model script by Q_ind = x*powerPeak</t>
  </si>
  <si>
    <t>cost_heater</t>
  </si>
  <si>
    <t>cost of the heater per MW input, equivalent to the cost of the resistive heater</t>
  </si>
  <si>
    <t>Capacity Expansion Model</t>
  </si>
  <si>
    <t>w_demand</t>
  </si>
  <si>
    <t>scaling factor to multiply or divide demand profile (which is in MW)</t>
  </si>
  <si>
    <t>c_inv_solar</t>
  </si>
  <si>
    <t>$1k/MW per year</t>
  </si>
  <si>
    <t>investment cost for solar</t>
  </si>
  <si>
    <t>c_inv_wind</t>
  </si>
  <si>
    <t>investment cost for wind</t>
  </si>
  <si>
    <t>c_inv_coal</t>
  </si>
  <si>
    <t>investment cost for coal</t>
  </si>
  <si>
    <t>a_inv_p</t>
  </si>
  <si>
    <t>investment cost for battery storage by power</t>
  </si>
  <si>
    <t>a_inv_e</t>
  </si>
  <si>
    <t>investment cost for battery storage by energy</t>
  </si>
  <si>
    <t>c_fom_solar</t>
  </si>
  <si>
    <t>$1k/MW/year</t>
  </si>
  <si>
    <t>Fixed operating and maintenance costs for solar</t>
  </si>
  <si>
    <t>c_fom_wind</t>
  </si>
  <si>
    <t>fixed operating and maintenance costs for wind</t>
  </si>
  <si>
    <t>c_fom_coal</t>
  </si>
  <si>
    <t>fixed opearting and maintenance costs for coal in India</t>
  </si>
  <si>
    <t>a_fom_p</t>
  </si>
  <si>
    <t>fixed operating and maintenance cost by power for battery storage</t>
  </si>
  <si>
    <t>a_opex_p</t>
  </si>
  <si>
    <t>$1k/MWh dispatch</t>
  </si>
  <si>
    <t>operating costs by power dispatch for battery storage</t>
  </si>
  <si>
    <t>c_opex_solar</t>
  </si>
  <si>
    <t xml:space="preserve">operating costs for solar </t>
  </si>
  <si>
    <t>c_opex_wind</t>
  </si>
  <si>
    <t xml:space="preserve">operating costs for wind </t>
  </si>
  <si>
    <t>eta_self</t>
  </si>
  <si>
    <t>self discharge efficiency of Li-ion</t>
  </si>
  <si>
    <t>self-discharge rate for battery storage</t>
  </si>
  <si>
    <t>eta_charge</t>
  </si>
  <si>
    <t>charging efficiency</t>
  </si>
  <si>
    <t>charging efficiency of battery storage</t>
  </si>
  <si>
    <t>eta_discharge</t>
  </si>
  <si>
    <t>discharging efficiency</t>
  </si>
  <si>
    <t>discharging efficiency for battery storage</t>
  </si>
  <si>
    <t>coal_emf</t>
  </si>
  <si>
    <t>tCO2/MWh</t>
  </si>
  <si>
    <t xml:space="preserve">emissions factor of coal plant </t>
  </si>
  <si>
    <t>[37]</t>
  </si>
  <si>
    <t>BaselineEmissions</t>
  </si>
  <si>
    <t>variable</t>
  </si>
  <si>
    <t>emissions_percent</t>
  </si>
  <si>
    <t xml:space="preserve">percentage of the baseline emissions that is allowed </t>
  </si>
  <si>
    <t>TES_setting</t>
  </si>
  <si>
    <t>bin</t>
  </si>
  <si>
    <t>1 if TES retrofits is taken out</t>
  </si>
  <si>
    <t>coal_setting</t>
  </si>
  <si>
    <t>setting that determines if coal is forced (1 for coal forced to stay on)</t>
  </si>
  <si>
    <t>retire_setting</t>
  </si>
  <si>
    <t>1 if coal is forced to retire</t>
  </si>
  <si>
    <t>coal_limit</t>
  </si>
  <si>
    <t>coal capacity size</t>
  </si>
  <si>
    <t>Model Input</t>
  </si>
  <si>
    <t>tank_insulation</t>
  </si>
  <si>
    <t>$/m2</t>
  </si>
  <si>
    <t>cost of tank insulation, which applies to the surface area of 2 cylindrical tanks</t>
  </si>
  <si>
    <t>2015 CEPI to 2020 CEPI</t>
  </si>
  <si>
    <t>Reference System [11]</t>
  </si>
  <si>
    <t>Table 1: Component costs for direct, two-tank molten salt TES system (base case) [11]</t>
  </si>
  <si>
    <t>tank_foundation</t>
  </si>
  <si>
    <t>cost of tank foundation, which applies just to the bottom area of the tank</t>
  </si>
  <si>
    <t>Power Output</t>
  </si>
  <si>
    <t>MW_e</t>
  </si>
  <si>
    <t>Total Cost (Materials + Installation Costs, in $/kWh_th) in 2011</t>
  </si>
  <si>
    <t>Total Cost (Materials + Installation Costs, in $/kWh_th) in 2023 USD</t>
  </si>
  <si>
    <t>hottank_material</t>
  </si>
  <si>
    <t>$/kg</t>
  </si>
  <si>
    <t>cost of tank shell material (stainless steel), which applies to the entire surface area at a specified design thickness</t>
  </si>
  <si>
    <t>[9], [11]</t>
  </si>
  <si>
    <t>Rankine System Efficiency</t>
  </si>
  <si>
    <t>High-temperature tank - stainless steel</t>
  </si>
  <si>
    <t>coldtank_material</t>
  </si>
  <si>
    <t>cost of tank shell material (carbon steel), which applies to the entire surface area at a specified design thickness</t>
  </si>
  <si>
    <t>Storage Hours</t>
  </si>
  <si>
    <t>Low-temperature tank - carbon steel</t>
  </si>
  <si>
    <t>solar_salt</t>
  </si>
  <si>
    <t>cost of the solar salt storage material</t>
  </si>
  <si>
    <t xml:space="preserve">[9], [10], [11] </t>
  </si>
  <si>
    <t>Characteristics for Solar Salt (NaNO3:KNO3) at 60:40 ratio from [10], 2020</t>
  </si>
  <si>
    <t xml:space="preserve">Tank supports, foundations, and site work </t>
  </si>
  <si>
    <t xml:space="preserve">salt_density </t>
  </si>
  <si>
    <t>kg/m3</t>
  </si>
  <si>
    <t xml:space="preserve">salt density </t>
  </si>
  <si>
    <t>[9], [10], [16]</t>
  </si>
  <si>
    <t xml:space="preserve">Characteristics for Solar Salt (NaNO3:KNO3) at 60:40 ratio </t>
  </si>
  <si>
    <t>Assumptions</t>
  </si>
  <si>
    <t>Source</t>
  </si>
  <si>
    <t xml:space="preserve">Storage Medium </t>
  </si>
  <si>
    <t>hottank_shell_density</t>
  </si>
  <si>
    <t>density of hot tank shell material</t>
  </si>
  <si>
    <t>[9], [17]</t>
  </si>
  <si>
    <t>CPI in 2023</t>
  </si>
  <si>
    <t>[14]</t>
  </si>
  <si>
    <t xml:space="preserve">Electrical and Instrumentation </t>
  </si>
  <si>
    <t>coldtank_shell_density</t>
  </si>
  <si>
    <t>density of cold tank shell material (carbon steel)</t>
  </si>
  <si>
    <t>[17]</t>
  </si>
  <si>
    <t>CPI in 2011</t>
  </si>
  <si>
    <t>Pipes,valves, and fittings</t>
  </si>
  <si>
    <t>delta</t>
  </si>
  <si>
    <t>design thickness of shells</t>
  </si>
  <si>
    <t>[15]</t>
  </si>
  <si>
    <t>CEPI in 2015</t>
  </si>
  <si>
    <t>[38]</t>
  </si>
  <si>
    <t>h_0</t>
  </si>
  <si>
    <t>maximum tank height</t>
  </si>
  <si>
    <t>CEPI in 2020</t>
  </si>
  <si>
    <t>Calculations</t>
  </si>
  <si>
    <t>deltaT</t>
  </si>
  <si>
    <t>temperature difference of the hot salt and cold salt</t>
  </si>
  <si>
    <t xml:space="preserve">cp </t>
  </si>
  <si>
    <t>kJ/kgK</t>
  </si>
  <si>
    <t>specific heat capacity of solar salt</t>
  </si>
  <si>
    <t>h_1</t>
  </si>
  <si>
    <t>total height including the design thickness of the shell</t>
  </si>
  <si>
    <t>n_tanks</t>
  </si>
  <si>
    <t>tanks</t>
  </si>
  <si>
    <t>number of tanks</t>
  </si>
  <si>
    <t>MWh_t</t>
  </si>
  <si>
    <t>adjustable input</t>
  </si>
  <si>
    <t>Q</t>
  </si>
  <si>
    <t>kJ</t>
  </si>
  <si>
    <t>thermal capacity (variable) which is equal to 1000 MWh_t</t>
  </si>
  <si>
    <t xml:space="preserve">Reference Temperature (Celcius) </t>
  </si>
  <si>
    <t>Using reference temperature from [16]</t>
  </si>
  <si>
    <t>m_s</t>
  </si>
  <si>
    <t>kg</t>
  </si>
  <si>
    <t xml:space="preserve">kg of salt per tank </t>
  </si>
  <si>
    <t>Calculating density at reference temperature (kg/m3)</t>
  </si>
  <si>
    <t>Calculated using equation from [10]</t>
  </si>
  <si>
    <t xml:space="preserve">r_0 </t>
  </si>
  <si>
    <t xml:space="preserve">inner radius of one tank </t>
  </si>
  <si>
    <t>Density of stainless steel 304 (kg/m3)</t>
  </si>
  <si>
    <t>r_1</t>
  </si>
  <si>
    <t xml:space="preserve">outer radius of one tank </t>
  </si>
  <si>
    <t>Density of stainless steel 316 (kg/m3)</t>
  </si>
  <si>
    <t>area_insulation</t>
  </si>
  <si>
    <t>m2</t>
  </si>
  <si>
    <t>area of one tank insulation</t>
  </si>
  <si>
    <t>Calculating Density of hot tank material (kg/m3)</t>
  </si>
  <si>
    <t>Calculated the average</t>
  </si>
  <si>
    <t>area_foundation</t>
  </si>
  <si>
    <t>area of one tank foundation material (square)</t>
  </si>
  <si>
    <t>V_shell</t>
  </si>
  <si>
    <t>m3</t>
  </si>
  <si>
    <t xml:space="preserve">volume of the cylindrical shell  </t>
  </si>
  <si>
    <t>m_cold_shell</t>
  </si>
  <si>
    <t xml:space="preserve">mass of cold tank material </t>
  </si>
  <si>
    <t>m_hot_shell</t>
  </si>
  <si>
    <t xml:space="preserve">mass of hot tank material </t>
  </si>
  <si>
    <t>cost_coldtank</t>
  </si>
  <si>
    <t xml:space="preserve">$ </t>
  </si>
  <si>
    <t>cost of the cold tank given Q</t>
  </si>
  <si>
    <t>cost_hottank</t>
  </si>
  <si>
    <t>cost of hot tank given Q</t>
  </si>
  <si>
    <t>total cost of tanks given Q</t>
  </si>
  <si>
    <t>Final Calculation for cost_tank</t>
  </si>
  <si>
    <t>value for cost_tank parameter in "Parameters" sheet</t>
  </si>
  <si>
    <t>Final Calculation for pipes and valves costs</t>
  </si>
  <si>
    <t>value for pipes_valves_cost in "Parameters" sheet</t>
  </si>
  <si>
    <t>footprint with buffer</t>
  </si>
  <si>
    <t>for both tanks with 10 m buffer</t>
  </si>
  <si>
    <t>[33]</t>
  </si>
  <si>
    <t>percentage breakdown</t>
  </si>
  <si>
    <t>material</t>
  </si>
  <si>
    <t>tank related components</t>
  </si>
  <si>
    <t>Checking Linearity</t>
  </si>
  <si>
    <t>total cost ($1k)</t>
  </si>
  <si>
    <t>includes material factor and pressure factors from the tube side only</t>
  </si>
  <si>
    <t>[35]</t>
  </si>
  <si>
    <t>steam_temp_low</t>
  </si>
  <si>
    <t>Celcius</t>
  </si>
  <si>
    <t>input steam temperature for supercritical Rankine system</t>
  </si>
  <si>
    <t>[19]</t>
  </si>
  <si>
    <t>steam_temp_high</t>
  </si>
  <si>
    <t>peak steam temperature for supercritical Rankine system</t>
  </si>
  <si>
    <t>salt_temp_high</t>
  </si>
  <si>
    <t>minimum temperature of salt (solar salt mixture)</t>
  </si>
  <si>
    <t>salt_temp_low</t>
  </si>
  <si>
    <t>maximum temperature of salt (solar salt mixture)</t>
  </si>
  <si>
    <t>Duty</t>
  </si>
  <si>
    <t>MW_t = MJ/s</t>
  </si>
  <si>
    <t>one shell and tube heat exchanger</t>
  </si>
  <si>
    <t>CPI ratio</t>
  </si>
  <si>
    <t xml:space="preserve">CPI in 2023/CPI in 2010 </t>
  </si>
  <si>
    <t>[21]</t>
  </si>
  <si>
    <t>U</t>
  </si>
  <si>
    <t>kW/m2-K</t>
  </si>
  <si>
    <t>U_1</t>
  </si>
  <si>
    <t>kW/m2 K</t>
  </si>
  <si>
    <t>[36]</t>
  </si>
  <si>
    <t>W/m^2 K</t>
  </si>
  <si>
    <t>Supercritical Rankine Cycle overall heat T/F coefficient for KF-ZrF4 secondary heat exchanger</t>
  </si>
  <si>
    <t>U_2</t>
  </si>
  <si>
    <t>A</t>
  </si>
  <si>
    <t>m^2</t>
  </si>
  <si>
    <t>Supercritical Rankine Cycle heat T/F surface area for KF-ZrF4 secondary heat exchanger</t>
  </si>
  <si>
    <t>U_3</t>
  </si>
  <si>
    <t>economizer / preheater</t>
  </si>
  <si>
    <t>unit_cost_MS</t>
  </si>
  <si>
    <t>$</t>
  </si>
  <si>
    <t xml:space="preserve">molten salt HX cost for 1000 MWh_t system </t>
  </si>
  <si>
    <t>unit_cost</t>
  </si>
  <si>
    <t>one shell and tube heat exchanger total cost in USD 2010</t>
  </si>
  <si>
    <t>power_out</t>
  </si>
  <si>
    <t>temperature difference between two streams at end A</t>
  </si>
  <si>
    <t>deltaT_LM</t>
  </si>
  <si>
    <t>temperature difference between two streams at end B</t>
  </si>
  <si>
    <t>UA</t>
  </si>
  <si>
    <t>log mean temperature difference of the heat exchanger</t>
  </si>
  <si>
    <t>c_hx</t>
  </si>
  <si>
    <t>MW_t/K</t>
  </si>
  <si>
    <t>used to estimate the UA_base for KF-ZrF4</t>
  </si>
  <si>
    <t>$/MW</t>
  </si>
  <si>
    <t xml:space="preserve">$1k </t>
  </si>
  <si>
    <t>$1k in USD 2023</t>
  </si>
  <si>
    <t>UA value associated with this particular heat exchanger</t>
  </si>
  <si>
    <t>Solar</t>
  </si>
  <si>
    <t>Wind</t>
  </si>
  <si>
    <t>Coal_sub</t>
  </si>
  <si>
    <t>Coal_super</t>
  </si>
  <si>
    <t>Li_on</t>
  </si>
  <si>
    <t xml:space="preserve">TES </t>
  </si>
  <si>
    <t>TES retrofit</t>
  </si>
  <si>
    <t>Sources</t>
  </si>
  <si>
    <t>Convert</t>
  </si>
  <si>
    <t>USD</t>
  </si>
  <si>
    <t>discount rate</t>
  </si>
  <si>
    <t>06a Photovoltaics Large</t>
  </si>
  <si>
    <t>04 Onshore turbines</t>
  </si>
  <si>
    <t>01a Coal, subcritical</t>
  </si>
  <si>
    <t>01b Coal, supercritical</t>
  </si>
  <si>
    <t>09 Battery storage, Li-ion</t>
  </si>
  <si>
    <t>1 cr INR</t>
  </si>
  <si>
    <t>Year</t>
  </si>
  <si>
    <t>Year data was taken</t>
  </si>
  <si>
    <t>First India Tech Review</t>
  </si>
  <si>
    <t>1 INR</t>
  </si>
  <si>
    <t>Discharge Efficiency</t>
  </si>
  <si>
    <t>1 Rs Lakh</t>
  </si>
  <si>
    <t>Charge Efficiency</t>
  </si>
  <si>
    <t>Aux Power Consumption (%)</t>
  </si>
  <si>
    <t>Lifetime (years)</t>
  </si>
  <si>
    <t>CRF</t>
  </si>
  <si>
    <t>Calculated value</t>
  </si>
  <si>
    <t xml:space="preserve">Investment Cost per MWh ($/MWh/year) </t>
  </si>
  <si>
    <t>Investment Cost per MW ($/MW/year)</t>
  </si>
  <si>
    <t>need to do charge and discharge investment split</t>
  </si>
  <si>
    <t xml:space="preserve">Fixed O&amp;M ($/MW/year) </t>
  </si>
  <si>
    <t xml:space="preserve">Variable O&amp;M ($/MWh) </t>
  </si>
  <si>
    <t>Power Capacity Limit (MW)</t>
  </si>
  <si>
    <t xml:space="preserve">Energy Capacity Limit (MWh) </t>
  </si>
  <si>
    <t xml:space="preserve">Ramp Rate (% of full load/minute) </t>
  </si>
  <si>
    <t>Minimum Load (% of full load)</t>
  </si>
  <si>
    <t xml:space="preserve">Hot Startup cost ($/MW/startup) </t>
  </si>
  <si>
    <t xml:space="preserve">Warm Startup cost ($/MW/startup) </t>
  </si>
  <si>
    <t xml:space="preserve">Cold Startup cost ($/MW/startup) </t>
  </si>
  <si>
    <t>cost hot pump ($)</t>
  </si>
  <si>
    <t>cost cold pump ($)</t>
  </si>
  <si>
    <t>hot pump rated power (kW_e)</t>
  </si>
  <si>
    <t>cold pump rated power (kW_e)</t>
  </si>
  <si>
    <t>hot pump unit cost ($/kW_e)</t>
  </si>
  <si>
    <t>cold pump unit cost ($/kW_e)</t>
  </si>
  <si>
    <t>hot pump ($/MW_e)</t>
  </si>
  <si>
    <t xml:space="preserve">cold pump ($/MW_e) </t>
  </si>
  <si>
    <t>Calculations for Salt Pumps</t>
  </si>
  <si>
    <t xml:space="preserve">$1k/kW_e </t>
  </si>
  <si>
    <t>Calculations for Cost of Heater</t>
  </si>
  <si>
    <t xml:space="preserve">Charging capital cost </t>
  </si>
  <si>
    <t>$/kW_e</t>
  </si>
  <si>
    <t>cost of resistive heater in kW_e</t>
  </si>
  <si>
    <t>2020 cost</t>
  </si>
  <si>
    <t xml:space="preserve">Efficiency down </t>
  </si>
  <si>
    <t xml:space="preserve">efficiency down fraction </t>
  </si>
  <si>
    <t>Converted charging capital cost</t>
  </si>
  <si>
    <t>$1k/MW_th</t>
  </si>
  <si>
    <t>Convert the charging capital cost by multiplying by the discharge efficiency and scale to match the units</t>
  </si>
  <si>
    <t>source</t>
  </si>
  <si>
    <t>kg/m3 solar salt density</t>
  </si>
  <si>
    <t xml:space="preserve">m3/h from the pumps </t>
  </si>
  <si>
    <t>https://www.sciencedirect.com/science/article/pii/S0038092X06000806</t>
  </si>
  <si>
    <t>CEPI in 2002</t>
  </si>
  <si>
    <t>Sizing for TX coal plants</t>
  </si>
  <si>
    <t>capsize</t>
  </si>
  <si>
    <t xml:space="preserve">hot pump sub </t>
  </si>
  <si>
    <t>kWe</t>
  </si>
  <si>
    <t>cold pump sub</t>
  </si>
  <si>
    <t>TES</t>
  </si>
  <si>
    <t xml:space="preserve">Direct costs based on EPC contracting approach. Include equipment, material, and labor to construct. </t>
  </si>
  <si>
    <t xml:space="preserve">[28] from CSP </t>
  </si>
  <si>
    <t>Balance of Plant</t>
  </si>
  <si>
    <t xml:space="preserve">Power Block (steam turbine, steam cycle, related systems) </t>
  </si>
  <si>
    <t>Land</t>
  </si>
  <si>
    <t>$/kW</t>
  </si>
  <si>
    <t>Electrical Interconnection</t>
  </si>
  <si>
    <t xml:space="preserve">Greenfield TES Discharge Inv. </t>
  </si>
  <si>
    <t>$/MW discharge</t>
  </si>
  <si>
    <t>100 x difference from TES retrofits in India</t>
  </si>
  <si>
    <t>P_out</t>
  </si>
  <si>
    <t xml:space="preserve">115 gross MW </t>
  </si>
  <si>
    <t>Greenfield TES Energy Inv</t>
  </si>
  <si>
    <t>4x difference</t>
  </si>
  <si>
    <t>Percentage of Greenfield</t>
  </si>
  <si>
    <t>random factor to play with</t>
  </si>
  <si>
    <t>FOM</t>
  </si>
  <si>
    <t>$/kW-year</t>
  </si>
  <si>
    <t>labor, materials, utilities, contracted services, G&amp;A costs. Exclude property costs and insurance</t>
  </si>
  <si>
    <t>Retrofit Discharge Inv (upgrades)</t>
  </si>
  <si>
    <t>10 x difference from retrofits, includes U.S. labor costs</t>
  </si>
  <si>
    <t>VOM</t>
  </si>
  <si>
    <t>all costs tied to energy produced are covered in fixed cost</t>
  </si>
  <si>
    <t>Retrofit Energy Inv</t>
  </si>
  <si>
    <t xml:space="preserve">4 x </t>
  </si>
  <si>
    <t>BESS_capex_kW</t>
  </si>
  <si>
    <t>$/kW-net</t>
  </si>
  <si>
    <t xml:space="preserve">capital cost of 50 MW, 100 MWh, 2 hour battery </t>
  </si>
  <si>
    <t xml:space="preserve">[28] Battery Energy System </t>
  </si>
  <si>
    <t xml:space="preserve">used for comparison </t>
  </si>
  <si>
    <t>BESS_capex_kWh</t>
  </si>
  <si>
    <t>$/kWh</t>
  </si>
  <si>
    <t>Greenfield_TES</t>
  </si>
  <si>
    <t>$1k / MW_e</t>
  </si>
  <si>
    <t>$1k per MW power output</t>
  </si>
  <si>
    <t>Upgrade_costs</t>
  </si>
  <si>
    <t>$/MWh-year for GenX input</t>
  </si>
  <si>
    <t>$1k / MW_e for TES parameters input</t>
  </si>
  <si>
    <t>Subcritical</t>
  </si>
  <si>
    <t>Supercritical</t>
  </si>
  <si>
    <t>Aspen Results</t>
  </si>
  <si>
    <t>P_aux</t>
  </si>
  <si>
    <t xml:space="preserve">auxiliary power consumption of the baseline subcritical modeled plant in NETL study </t>
  </si>
  <si>
    <t>[3], Case B11A, B12A</t>
  </si>
  <si>
    <t>Steam Flow</t>
  </si>
  <si>
    <t>steam_flow</t>
  </si>
  <si>
    <t>kg/s</t>
  </si>
  <si>
    <t>flow rate of steam</t>
  </si>
  <si>
    <t>X_loss</t>
  </si>
  <si>
    <t>transformer losses in baseline subcrtical modled plant in NETL study</t>
  </si>
  <si>
    <t>Main Steam Characteristics</t>
  </si>
  <si>
    <t>steam_peak_temp</t>
  </si>
  <si>
    <t>peak temperature of steam</t>
  </si>
  <si>
    <t>MWe</t>
  </si>
  <si>
    <t>gross power output</t>
  </si>
  <si>
    <t>Load (MW)</t>
  </si>
  <si>
    <t>Gross Heat Rate (kcal/kWh)</t>
  </si>
  <si>
    <t>Turbine Heat Rate (kcal/kWh)</t>
  </si>
  <si>
    <t>Boiler Efficiency (%)</t>
  </si>
  <si>
    <t>Flow (kg/s)</t>
  </si>
  <si>
    <t>Temperature (°C)</t>
  </si>
  <si>
    <t>Pressure (MPa)</t>
  </si>
  <si>
    <t>Condenser Vacuum (MPa)</t>
  </si>
  <si>
    <t>Auxiliary Power Cons. (%)</t>
  </si>
  <si>
    <t>Steam turbine efficiency</t>
  </si>
  <si>
    <t>Aux Power in TES (MW)</t>
  </si>
  <si>
    <t>T_low</t>
  </si>
  <si>
    <t>lowest temperature of steam</t>
  </si>
  <si>
    <t>P_aux_total</t>
  </si>
  <si>
    <t>total aux power demand</t>
  </si>
  <si>
    <t>500 MW</t>
  </si>
  <si>
    <t>Average Design Values</t>
  </si>
  <si>
    <t>[29]</t>
  </si>
  <si>
    <t>h_steam_1</t>
  </si>
  <si>
    <t>J/kg</t>
  </si>
  <si>
    <t>enthalpy at peak temperature</t>
  </si>
  <si>
    <t>c_feedwater</t>
  </si>
  <si>
    <t>overnight capital cost of feedwater system, including labor costs</t>
  </si>
  <si>
    <t>Average Operating Values</t>
  </si>
  <si>
    <t>h_steam_2</t>
  </si>
  <si>
    <t>enthalpy at lowest temepratuare</t>
  </si>
  <si>
    <t>c_waterpretreat</t>
  </si>
  <si>
    <t>water makeup &amp; pretreating</t>
  </si>
  <si>
    <t>Average Deviations (%)</t>
  </si>
  <si>
    <t>Power</t>
  </si>
  <si>
    <t>w_1</t>
  </si>
  <si>
    <t>Power from high pressure turbine</t>
  </si>
  <si>
    <t>c_feedwatersub</t>
  </si>
  <si>
    <t>other feedwater subsystems</t>
  </si>
  <si>
    <t>250 MW</t>
  </si>
  <si>
    <t>w_2</t>
  </si>
  <si>
    <t>Power from intermediate pressure turbine</t>
  </si>
  <si>
    <t>c_servicewater</t>
  </si>
  <si>
    <t>service water systems</t>
  </si>
  <si>
    <t>w_3</t>
  </si>
  <si>
    <t>Power from low pressure turbine</t>
  </si>
  <si>
    <t>c_wastewatertreatment</t>
  </si>
  <si>
    <t>waste water treatment equipment</t>
  </si>
  <si>
    <t>w_pump</t>
  </si>
  <si>
    <t>Auxiliary Power Consumption</t>
  </si>
  <si>
    <t>c_misc</t>
  </si>
  <si>
    <t xml:space="preserve">miscellaneous plant equipment </t>
  </si>
  <si>
    <t>210 MW</t>
  </si>
  <si>
    <t>Salt Flow</t>
  </si>
  <si>
    <t>F_salt</t>
  </si>
  <si>
    <t>flow rate of salt</t>
  </si>
  <si>
    <t>c_steamturbine</t>
  </si>
  <si>
    <t>Steam Turbine Generator &amp; accessories</t>
  </si>
  <si>
    <t>max_temp</t>
  </si>
  <si>
    <t>peak temperature of salt</t>
  </si>
  <si>
    <t>c_steamturbineaux</t>
  </si>
  <si>
    <t>Steam Turbine Plant Auxiliaries</t>
  </si>
  <si>
    <t>min_temp</t>
  </si>
  <si>
    <t>lowest temperature of salt</t>
  </si>
  <si>
    <t>c_condenseraux</t>
  </si>
  <si>
    <t>Condenser &amp; Auxiliaries</t>
  </si>
  <si>
    <t>195 - 200 MW</t>
  </si>
  <si>
    <t>c_steampiping</t>
  </si>
  <si>
    <t>Steam Piping</t>
  </si>
  <si>
    <t>h_2</t>
  </si>
  <si>
    <t>enthalpy at lowest temperature</t>
  </si>
  <si>
    <t>c_foundation</t>
  </si>
  <si>
    <t>Turbine Generator Foundations</t>
  </si>
  <si>
    <t>c_coolingtower</t>
  </si>
  <si>
    <t>cooling towers</t>
  </si>
  <si>
    <t>140 MW</t>
  </si>
  <si>
    <t>Q_in</t>
  </si>
  <si>
    <t>MW input</t>
  </si>
  <si>
    <t>salt mass flow [kg/s] * enthalpy change [J/kg] = [J/s] = [W] e-6 = [MW]</t>
  </si>
  <si>
    <t>c_waterpump</t>
  </si>
  <si>
    <t>circulating water pumps</t>
  </si>
  <si>
    <t>power</t>
  </si>
  <si>
    <t>MW output</t>
  </si>
  <si>
    <t xml:space="preserve">summation of the steam pump aux power consumption and power output from each turbine </t>
  </si>
  <si>
    <t>c_wateraux</t>
  </si>
  <si>
    <t>circulating water system auxiliaries</t>
  </si>
  <si>
    <t>Inputs to Parameters Tab</t>
  </si>
  <si>
    <t>[0 -1]</t>
  </si>
  <si>
    <t xml:space="preserve">the efficiency of the discharge cycle is P_out / Q_in </t>
  </si>
  <si>
    <t>c_waterpipe</t>
  </si>
  <si>
    <t>circulating water piping</t>
  </si>
  <si>
    <t>120-125 MW</t>
  </si>
  <si>
    <t>enthalpy change of the steam converted to MJ/tonne</t>
  </si>
  <si>
    <t>c_makeupwater</t>
  </si>
  <si>
    <t>make-up water system</t>
  </si>
  <si>
    <t>Temperature difference of two streams (steam and salt flows) at at end A in countercurrent heat exchanger</t>
  </si>
  <si>
    <t>c_coolingwater</t>
  </si>
  <si>
    <t>component cooling water system</t>
  </si>
  <si>
    <t>Temperature difference between two streams (steam and salt flows) at end B in countercurrent heat exchanger</t>
  </si>
  <si>
    <t>c_waterfoundation</t>
  </si>
  <si>
    <t xml:space="preserve">circulating water system foundations </t>
  </si>
  <si>
    <t>100-110 MW</t>
  </si>
  <si>
    <t>c_generator</t>
  </si>
  <si>
    <t>Generator equipment</t>
  </si>
  <si>
    <t>c_stationservice</t>
  </si>
  <si>
    <t>station service equipment</t>
  </si>
  <si>
    <t>c_switchgear</t>
  </si>
  <si>
    <t>switchgear &amp; motor control</t>
  </si>
  <si>
    <t>c_conduit</t>
  </si>
  <si>
    <t>conduit and cable tray</t>
  </si>
  <si>
    <t>c_wirescables</t>
  </si>
  <si>
    <t>wire and cable</t>
  </si>
  <si>
    <t>c_protection</t>
  </si>
  <si>
    <t>protective equipment</t>
  </si>
  <si>
    <t>c_standby</t>
  </si>
  <si>
    <t>standby equipment</t>
  </si>
  <si>
    <t>c_powertransformers</t>
  </si>
  <si>
    <t>main power transformers</t>
  </si>
  <si>
    <t>c_electricalfoundation</t>
  </si>
  <si>
    <t>electrical foundations</t>
  </si>
  <si>
    <t>c_steamturbinecontrols</t>
  </si>
  <si>
    <t>steam turbine control equipment</t>
  </si>
  <si>
    <t>land_cost</t>
  </si>
  <si>
    <t>Land cost (owner costs)</t>
  </si>
  <si>
    <t>FOM_labor</t>
  </si>
  <si>
    <t>$/kWnet</t>
  </si>
  <si>
    <t>includes annula operating labor, maintenance labor, administrative and support labor, property taxes and insurance</t>
  </si>
  <si>
    <t>VOM_water</t>
  </si>
  <si>
    <t>$/MWh-net</t>
  </si>
  <si>
    <t>water costs</t>
  </si>
  <si>
    <t>VOM_wastewater</t>
  </si>
  <si>
    <t>wastewater treatment costs</t>
  </si>
  <si>
    <t>decomissioning_cost</t>
  </si>
  <si>
    <t>0.29 to 0.36</t>
  </si>
  <si>
    <t>INR CR per MW</t>
  </si>
  <si>
    <r>
      <t xml:space="preserve">they include: </t>
    </r>
    <r>
      <rPr>
        <b/>
        <sz val="12"/>
        <color theme="1"/>
        <rFont val="Calibri"/>
        <family val="2"/>
        <scheme val="minor"/>
      </rPr>
      <t>Employee costs,</t>
    </r>
    <r>
      <rPr>
        <sz val="12"/>
        <color theme="1"/>
        <rFont val="Calibri"/>
        <family val="2"/>
        <scheme val="minor"/>
      </rPr>
      <t xml:space="preserve"> station overhead, O&amp;M expenses, pre-demolition costs: environmental remediation (asbestos cleanup), demolition costs (including scrap removal), coal combustion residuals, coal storage area clean up (Shrimali TN paper)</t>
    </r>
  </si>
  <si>
    <t xml:space="preserve">Shrimali </t>
  </si>
  <si>
    <t xml:space="preserve">P_aux </t>
  </si>
  <si>
    <t>%</t>
  </si>
  <si>
    <t>additional percentage (of total MW output) that is auxiliary consumption for the molten salt retrofit system</t>
  </si>
  <si>
    <t xml:space="preserve">total fixed operating and maintenance costs (labor estimate, U.S. base is $38.50 / hour ) </t>
  </si>
  <si>
    <t>variable operating costs associated with water</t>
  </si>
  <si>
    <t>Capex</t>
  </si>
  <si>
    <t>capital cost of steam turbine system and additional upgrades. This does not include the cost of buildings / enclosures</t>
  </si>
  <si>
    <t xml:space="preserve">Feedwater &amp; Misc BOP Systems: </t>
  </si>
  <si>
    <t xml:space="preserve">Major Component Rigging: </t>
  </si>
  <si>
    <t xml:space="preserve">Ductwork &amp; Stack: </t>
  </si>
  <si>
    <t xml:space="preserve">Steam Turbine and Acessories: </t>
  </si>
  <si>
    <t xml:space="preserve">Cooling Water System: </t>
  </si>
  <si>
    <t xml:space="preserve">Accessory Electric Plant: </t>
  </si>
  <si>
    <t xml:space="preserve">Instrumentation and Control: </t>
  </si>
  <si>
    <t xml:space="preserve">Improvements to site: </t>
  </si>
  <si>
    <t xml:space="preserve">Buildings and Structures: </t>
  </si>
  <si>
    <t xml:space="preserve">Grand total: </t>
  </si>
  <si>
    <t>fraction of FOM related to TES</t>
  </si>
  <si>
    <t>2020 values</t>
  </si>
  <si>
    <t>2030 values</t>
  </si>
  <si>
    <t>2050 values</t>
  </si>
  <si>
    <t>unit amount</t>
  </si>
  <si>
    <t>Conversion rate</t>
  </si>
  <si>
    <t>unit</t>
  </si>
  <si>
    <t>Inverter lifetime (years)</t>
  </si>
  <si>
    <t>1 crore INR</t>
  </si>
  <si>
    <t>Lifetime</t>
  </si>
  <si>
    <t>battery cycles</t>
  </si>
  <si>
    <t>1 USD</t>
  </si>
  <si>
    <t>INR</t>
  </si>
  <si>
    <t>charging efficinecy</t>
  </si>
  <si>
    <t>Depth of Discharge</t>
  </si>
  <si>
    <t>Discharge time</t>
  </si>
  <si>
    <t>Capital costs</t>
  </si>
  <si>
    <t>$ / MWh</t>
  </si>
  <si>
    <t>capital costs power</t>
  </si>
  <si>
    <t>$ / MW</t>
  </si>
  <si>
    <t>Fixed OM</t>
  </si>
  <si>
    <t>$ /MW /year</t>
  </si>
  <si>
    <t>Variable OM</t>
  </si>
  <si>
    <t>cost</t>
  </si>
  <si>
    <t>Employee Costs</t>
  </si>
  <si>
    <t>$M/1000 MW</t>
  </si>
  <si>
    <t>Station overheads</t>
  </si>
  <si>
    <t>O&amp;M expenses</t>
  </si>
  <si>
    <t>Pre-demolition costs: environmental regulation</t>
  </si>
  <si>
    <t>Demolition costs</t>
  </si>
  <si>
    <t>Coal combustion residuals</t>
  </si>
  <si>
    <t>Coal storage area cleanup</t>
  </si>
  <si>
    <t>benefit</t>
  </si>
  <si>
    <t>scrap value</t>
  </si>
  <si>
    <t>land utilization</t>
  </si>
  <si>
    <t>equipment (switchyard, substation)</t>
  </si>
  <si>
    <t xml:space="preserve">remediation </t>
  </si>
  <si>
    <t>transmission and interconnection evacuation</t>
  </si>
  <si>
    <t>total decomission cost</t>
  </si>
  <si>
    <t>700MW</t>
  </si>
  <si>
    <t>600MW</t>
  </si>
  <si>
    <t>660MW</t>
  </si>
  <si>
    <t>500MW</t>
  </si>
  <si>
    <t>250MW</t>
  </si>
  <si>
    <t>210MW</t>
  </si>
  <si>
    <t>195_200MW</t>
  </si>
  <si>
    <t>140MW</t>
  </si>
  <si>
    <t>120_125MW</t>
  </si>
  <si>
    <t>100_110MW</t>
  </si>
  <si>
    <t xml:space="preserve">Trombay </t>
  </si>
  <si>
    <t>Average Operating Values or design values</t>
  </si>
  <si>
    <t>steam turbine efficiency (not the full plant efficiency, which is around 38.6 to 40.1 % for the best)</t>
  </si>
  <si>
    <t>P_aux_TES</t>
  </si>
  <si>
    <t>Aux Power Consumption for TES</t>
  </si>
  <si>
    <t>P_aux_coal</t>
  </si>
  <si>
    <t>Aux Power Consumption for Coal</t>
  </si>
  <si>
    <t>F_steam</t>
  </si>
  <si>
    <t>Flow rate of main steam</t>
  </si>
  <si>
    <t>Pressure_steam</t>
  </si>
  <si>
    <t>bar</t>
  </si>
  <si>
    <t>pressure of main steam</t>
  </si>
  <si>
    <t>Temperature_steam</t>
  </si>
  <si>
    <t>peak steam temperature</t>
  </si>
  <si>
    <t>Notes_Sources</t>
  </si>
  <si>
    <t>[4],[5]</t>
  </si>
  <si>
    <t xml:space="preserve">Capacity range of units </t>
  </si>
  <si>
    <t xml:space="preserve">No. of units </t>
  </si>
  <si>
    <t xml:space="preserve">Average Design </t>
  </si>
  <si>
    <t>Average Operating</t>
  </si>
  <si>
    <t xml:space="preserve">Average </t>
  </si>
  <si>
    <t>Range of operating THR</t>
  </si>
  <si>
    <t xml:space="preserve">Turbine Heat Rate </t>
  </si>
  <si>
    <t xml:space="preserve">Deviation (%) </t>
  </si>
  <si>
    <t xml:space="preserve">(kcal/kWh)* </t>
  </si>
  <si>
    <t xml:space="preserve">100-110 MW </t>
  </si>
  <si>
    <t xml:space="preserve">2215 - 2881 </t>
  </si>
  <si>
    <t xml:space="preserve">120-125 MW </t>
  </si>
  <si>
    <t xml:space="preserve">2162 - 2796 </t>
  </si>
  <si>
    <t xml:space="preserve">140 MW </t>
  </si>
  <si>
    <t>2243 - 2325</t>
  </si>
  <si>
    <t xml:space="preserve">195-200 MW </t>
  </si>
  <si>
    <t xml:space="preserve">2033 - 2893 </t>
  </si>
  <si>
    <t xml:space="preserve">210 MW </t>
  </si>
  <si>
    <t xml:space="preserve">2045 - 2442 </t>
  </si>
  <si>
    <t xml:space="preserve">250 MW </t>
  </si>
  <si>
    <t xml:space="preserve">2179 - 2274 </t>
  </si>
  <si>
    <t xml:space="preserve">500 MW </t>
  </si>
  <si>
    <t xml:space="preserve">2087 - 2179 </t>
  </si>
  <si>
    <t>500MW_0</t>
  </si>
  <si>
    <t>500MW_1</t>
  </si>
  <si>
    <t>500MW_2</t>
  </si>
  <si>
    <t>500MW_3</t>
  </si>
  <si>
    <t>500MW_4</t>
  </si>
  <si>
    <t>250MW_0</t>
  </si>
  <si>
    <t>250MW_1</t>
  </si>
  <si>
    <t>250MW_2</t>
  </si>
  <si>
    <t>250MW_3</t>
  </si>
  <si>
    <t>250MW_4</t>
  </si>
  <si>
    <t>210MW_0</t>
  </si>
  <si>
    <t>210MW_1</t>
  </si>
  <si>
    <t>210MW_2</t>
  </si>
  <si>
    <t>210MW_3</t>
  </si>
  <si>
    <t>210MW_4</t>
  </si>
  <si>
    <t>210MW_5</t>
  </si>
  <si>
    <t>210MW_6</t>
  </si>
  <si>
    <t>210MW_7</t>
  </si>
  <si>
    <t>210MW_8</t>
  </si>
  <si>
    <t>210MW_9</t>
  </si>
  <si>
    <t>210MW_10</t>
  </si>
  <si>
    <t>210MW_11</t>
  </si>
  <si>
    <t>210MW_12</t>
  </si>
  <si>
    <t>210MW_13</t>
  </si>
  <si>
    <t>210MW_14</t>
  </si>
  <si>
    <t>210MW_15</t>
  </si>
  <si>
    <t>210MW_16</t>
  </si>
  <si>
    <t>210MW_17</t>
  </si>
  <si>
    <t>210MW_18</t>
  </si>
  <si>
    <t>210MW_19</t>
  </si>
  <si>
    <t>210MW_20</t>
  </si>
  <si>
    <t>210MW_21</t>
  </si>
  <si>
    <t>210MW_22</t>
  </si>
  <si>
    <t>210MW_23</t>
  </si>
  <si>
    <t>210MW_24</t>
  </si>
  <si>
    <t>210MW_25</t>
  </si>
  <si>
    <t>210MW_26</t>
  </si>
  <si>
    <t>210MW_27</t>
  </si>
  <si>
    <t>210MW_28</t>
  </si>
  <si>
    <t>210MW_29</t>
  </si>
  <si>
    <t>210MW_30</t>
  </si>
  <si>
    <t>210MW_31</t>
  </si>
  <si>
    <t>210MW_32</t>
  </si>
  <si>
    <t>210MW_33</t>
  </si>
  <si>
    <t>210MW_34</t>
  </si>
  <si>
    <t>210MW_35</t>
  </si>
  <si>
    <t>210MW_36</t>
  </si>
  <si>
    <t>210MW_37</t>
  </si>
  <si>
    <t>210MW_38</t>
  </si>
  <si>
    <t>210MW_39</t>
  </si>
  <si>
    <t>210MW_40</t>
  </si>
  <si>
    <t>210MW_41</t>
  </si>
  <si>
    <t>210MW_42</t>
  </si>
  <si>
    <t>210MW_43</t>
  </si>
  <si>
    <t>210MW_44</t>
  </si>
  <si>
    <t>210MW_45</t>
  </si>
  <si>
    <t>210MW_46</t>
  </si>
  <si>
    <t>210MW_47</t>
  </si>
  <si>
    <t>210MW_48</t>
  </si>
  <si>
    <t>195_200MW_0</t>
  </si>
  <si>
    <t>195_200MW_1</t>
  </si>
  <si>
    <t>195_200MW_2</t>
  </si>
  <si>
    <t>195_200MW_3</t>
  </si>
  <si>
    <t>195_200MW_4</t>
  </si>
  <si>
    <t>140MW_0</t>
  </si>
  <si>
    <t>140MW_1</t>
  </si>
  <si>
    <t>140MW_2</t>
  </si>
  <si>
    <t>140MW_3</t>
  </si>
  <si>
    <t>120_125MW_0</t>
  </si>
  <si>
    <t>120_125MW_1</t>
  </si>
  <si>
    <t>120_125MW_2</t>
  </si>
  <si>
    <t>120_125MW_3</t>
  </si>
  <si>
    <t>120_125MW_4</t>
  </si>
  <si>
    <t>120_125MW_5</t>
  </si>
  <si>
    <t>120_125MW_6</t>
  </si>
  <si>
    <t>120_125MW_7</t>
  </si>
  <si>
    <t>120_125MW_8</t>
  </si>
  <si>
    <t>100_110MW_0</t>
  </si>
  <si>
    <t>100_110MW_1</t>
  </si>
  <si>
    <t>100_110MW_2</t>
  </si>
  <si>
    <t>100_110MW_3</t>
  </si>
  <si>
    <t>100_110MW_4</t>
  </si>
  <si>
    <t>100_110MW_5</t>
  </si>
  <si>
    <t>100_110MW_6</t>
  </si>
  <si>
    <t>100_110MW_7</t>
  </si>
  <si>
    <t>Constraints</t>
  </si>
  <si>
    <t>Assumption</t>
  </si>
  <si>
    <t>Heat Exchanger Balance</t>
  </si>
  <si>
    <t>Price Profile Input</t>
  </si>
  <si>
    <t>salt pumps are not a driving capital cost and a linearized equation is used to estimate the unit cost of the pumps</t>
  </si>
  <si>
    <t xml:space="preserve">Salt corrosion and replacement rates are not incluced, usually not a problem within the 25-30 year lifetime of the facility </t>
  </si>
  <si>
    <t>Assuming operating conditions (not design values) for most units except those that are 600 MW + because these are typically newer and more efficiently operated</t>
  </si>
  <si>
    <t>ancillary services (inertia value) is not included because this is currently inconsistently valued, and the value changes as more renewables come online</t>
  </si>
  <si>
    <t xml:space="preserve">system-level benefits will be analyzed separately </t>
  </si>
  <si>
    <t xml:space="preserve">uncertainties on the heat exchanger costs due to scale </t>
  </si>
  <si>
    <t>there have been demonstration projects (MIT has one) but these are small, resarch stage, expensive</t>
  </si>
  <si>
    <t>lifetime</t>
  </si>
  <si>
    <t>average_cap</t>
  </si>
  <si>
    <t>Profits_TES</t>
  </si>
  <si>
    <t>chargeMW_investment</t>
  </si>
  <si>
    <t>dischargeMW_investment</t>
  </si>
  <si>
    <t>energy_MWh_investment</t>
  </si>
  <si>
    <t>discharge MW with upgrade</t>
  </si>
  <si>
    <t>discharge MW with upgrade and CRF</t>
  </si>
  <si>
    <t>Coal Plant TES Retrofit Type in Uttar Pradesh</t>
  </si>
  <si>
    <t xml:space="preserve">remaining lifetime of the coal plant based on 50 year lifetime assumption. This is the lifetime over which the TES would operate. </t>
  </si>
  <si>
    <t>average capacity of the cluster in MW</t>
  </si>
  <si>
    <t xml:space="preserve">Capital Recovery Factor of the unit, based on age of the coal plant </t>
  </si>
  <si>
    <t xml:space="preserve">Objective function of the TES dispatch and sizing optimization (negative values are annual profit. Positive values indicate an annual loss) </t>
  </si>
  <si>
    <t>USD per MW of installed charging capacity. Includes charger and cold salt pumps. Does not use CRF</t>
  </si>
  <si>
    <t>USD per MW of discharging capacity. Includes heat exchanger, hot salt pumps, does not use CRF</t>
  </si>
  <si>
    <t>USD per MWh (thermal) installed. Includes cost of tank and energy storage medium, does not use CRF</t>
  </si>
  <si>
    <t>USD per MW of installed charging capacity, same as before but includes an upgrade cost for the steam turbine</t>
  </si>
  <si>
    <t xml:space="preserve">USD per MW of installed charging capacity, same as before but includes an upgrade cost for the steam turbine and multiplied by the CRF. </t>
  </si>
  <si>
    <t>BESS $/kW - yr from the same source as TES power cycle upgrade costs</t>
  </si>
  <si>
    <t>Factor to take out the labor costs</t>
  </si>
  <si>
    <t>averages of profitable runs</t>
  </si>
  <si>
    <t>Comparisions</t>
  </si>
  <si>
    <t xml:space="preserve">$50 - $100 / kW yr for Li-ion </t>
  </si>
  <si>
    <t>given by Yifu</t>
  </si>
  <si>
    <t>greenfield discharge investment in U.S., with labor costs</t>
  </si>
  <si>
    <t>$/MW, so $97/kW</t>
  </si>
  <si>
    <t>$0.2/kW yr</t>
  </si>
  <si>
    <t>$3.5 / kWyr</t>
  </si>
  <si>
    <t>$2/kWyr</t>
  </si>
  <si>
    <t>$40/kWyr</t>
  </si>
  <si>
    <t xml:space="preserve">BESS in the same report </t>
  </si>
  <si>
    <t>factor to compare with Li-ion</t>
  </si>
  <si>
    <t xml:space="preserve">percentage of upgrade (assumes 30% of the equipment in the power cycle needs replacement) </t>
  </si>
  <si>
    <t>factor to use in Upgrade Costs tab</t>
  </si>
  <si>
    <t>Existing_Cap_MW</t>
  </si>
  <si>
    <t>Existing_Cap_MWh</t>
  </si>
  <si>
    <t>Existing_Charge_Cap_MW</t>
  </si>
  <si>
    <t>Inv_Cost_per_MWyr</t>
  </si>
  <si>
    <t>Inv_Cost_per_MWhyr</t>
  </si>
  <si>
    <t>Inv_Cost_Charge_per_MWyr</t>
  </si>
  <si>
    <t>Fixed_OM_Cost_per_MWhyr</t>
  </si>
  <si>
    <t>Fixed_OM_Cost_charge_per_MWyr</t>
  </si>
  <si>
    <t>Max_Cap_MW</t>
  </si>
  <si>
    <t>Max_Cap_MWh</t>
  </si>
  <si>
    <t>Max_Charge_Cap_MW</t>
  </si>
  <si>
    <t>Var_OM_Cost_per_MWh_In</t>
  </si>
  <si>
    <t>Cap_Size</t>
  </si>
  <si>
    <t>Start_Cost_per_MW</t>
  </si>
  <si>
    <t>Up_Time</t>
  </si>
  <si>
    <t>Down_Time</t>
  </si>
  <si>
    <t>Ramp_Up_Percentage</t>
  </si>
  <si>
    <t>Ramp_Dn_Percentage</t>
  </si>
  <si>
    <t>Self_Disch</t>
  </si>
  <si>
    <t>Eff_Up</t>
  </si>
  <si>
    <t>Eff_Down</t>
  </si>
  <si>
    <t>GenX Description</t>
  </si>
  <si>
    <t>The existing capacity of a power plant in MW.</t>
  </si>
  <si>
    <r>
      <t>The existing capacity of storage in MWh where </t>
    </r>
    <r>
      <rPr>
        <sz val="12"/>
        <color theme="1"/>
        <rFont val="Calibri"/>
        <family val="2"/>
        <scheme val="minor"/>
      </rPr>
      <t>STOR = 1 or STOR = 2.</t>
    </r>
  </si>
  <si>
    <r>
      <t>The existing charging capacity for resources where </t>
    </r>
    <r>
      <rPr>
        <sz val="12"/>
        <color theme="1"/>
        <rFont val="Calibri"/>
        <family val="2"/>
        <scheme val="minor"/>
      </rPr>
      <t>STOR = 2.</t>
    </r>
  </si>
  <si>
    <t>Annualized capacity investment cost of a technology (/MW/year).</t>
  </si>
  <si>
    <r>
      <t>Annualized investment cost of the energy capacity for a storage technology (/MW/year), applicable to either </t>
    </r>
    <r>
      <rPr>
        <sz val="12"/>
        <color theme="1"/>
        <rFont val="Calibri"/>
        <family val="2"/>
        <scheme val="minor"/>
      </rPr>
      <t>STOR = 1 or STOR = 2.</t>
    </r>
  </si>
  <si>
    <r>
      <t>Annualized capacity investment cost for the charging portion of a storage technology with </t>
    </r>
    <r>
      <rPr>
        <sz val="12"/>
        <color theme="1"/>
        <rFont val="Calibri"/>
        <family val="2"/>
        <scheme val="minor"/>
      </rPr>
      <t>STOR = 2 (/MW/year).</t>
    </r>
  </si>
  <si>
    <t>Fixed operations and maintenance cost of the energy component of a storage technology (/MWh/year).</t>
  </si>
  <si>
    <t>Fixed operations and maintenance cost of the charging component of a storage technology of type STOR = 2.</t>
  </si>
  <si>
    <t>-1 (default) – no limit on maximum discharge capacity of the resource. If non-negative, represents maximum allowed discharge capacity (in MW) of the resource.</t>
  </si>
  <si>
    <r>
      <t>-1 (default) – no limit on maximum energy capacity of the resource. If non-negative, represents maximum allowed energy capacity (in MWh) of the resource with </t>
    </r>
    <r>
      <rPr>
        <sz val="12"/>
        <color theme="1"/>
        <rFont val="Calibri"/>
        <family val="2"/>
        <scheme val="minor"/>
      </rPr>
      <t>STOR = 1 or STOR = 2.</t>
    </r>
  </si>
  <si>
    <r>
      <t>-1 (default) – no limit on maximum charge capacity of the resource. If non-negative, represents maximum allowed charge capacity (in MW) of the resource with </t>
    </r>
    <r>
      <rPr>
        <sz val="12"/>
        <color theme="1"/>
        <rFont val="Calibri"/>
        <family val="2"/>
        <scheme val="minor"/>
      </rPr>
      <t>STOR = 2.</t>
    </r>
  </si>
  <si>
    <r>
      <t>Variable operations and maintenance cost of the charging aspect of a storage technology with </t>
    </r>
    <r>
      <rPr>
        <sz val="12"/>
        <color theme="1"/>
        <rFont val="Calibri"/>
        <family val="2"/>
        <scheme val="minor"/>
      </rPr>
      <t>STOR = 2, or variable operations and maintenance costs associated with flexible demand deferral with FLEX = 1. Otherwise 0 (/MWh).</t>
    </r>
  </si>
  <si>
    <r>
      <t>Size (MW) of a single generating unit. This is used only for resources with integer unit commitment (</t>
    </r>
    <r>
      <rPr>
        <sz val="12"/>
        <color theme="1"/>
        <rFont val="Calibri"/>
        <family val="2"/>
        <scheme val="minor"/>
      </rPr>
      <t>THERM = 1) - not relevant for other resources.</t>
    </r>
  </si>
  <si>
    <t>Cost per MW of nameplate capacity to start a generator (/MW per start). Multiplied by the number of generation units (each with a pre-specified nameplate capacity) that is turned on.</t>
  </si>
  <si>
    <t>Minimum amount of time a resource has to stay in the committed state.</t>
  </si>
  <si>
    <t>Minimum amount of time a resource has to remain in the shutdown state.</t>
  </si>
  <si>
    <t>[0,1], Maximum increase in power output from between two periods (typically hours), reported as a fraction of nameplate capacity. Applies to thermal plants, and reservoir hydro resource (HYDRO = 1).</t>
  </si>
  <si>
    <t>0,1], Maximum decrease in power output from between two periods (typically hours), reported as a fraction of nameplate capacity. Applies to thermal plants, and reservoir hydro resource (HYDRO = 1).</t>
  </si>
  <si>
    <t>[0,1], The power loss of storage technologies per hour (fraction loss per hour)- only applies to storage techs.</t>
  </si>
  <si>
    <t>[0,1], Efficiency of charging storage – applies to storage technologies (all STOR types).</t>
  </si>
  <si>
    <t>[0,1], Efficiency of discharging storage – applies to storage technologies (all STOR types).</t>
  </si>
  <si>
    <t>Calculation / Description</t>
  </si>
  <si>
    <t>TES is not a generator</t>
  </si>
  <si>
    <t>No existing TES</t>
  </si>
  <si>
    <t>average annualized capacity investment cost per MW of discharge capacity, for the profitable units of a fleet analysis. Includes heat exchanger, hot salt pumps, any upgrade costs for the steam turbine</t>
  </si>
  <si>
    <t>average annualized energy capacity investment cost, per MWh_th (thermal) storage for the profitable units of a fleet analysis. Includes cost of tank and energy storage medium</t>
  </si>
  <si>
    <t xml:space="preserve">average annualized capacity investment costs per MW of charge capacity for the profitable units of a fleet analysis. Includes charger and cold salt pumps. </t>
  </si>
  <si>
    <t>Change to the existing capacity of coal plants</t>
  </si>
  <si>
    <t>Potentially limited by land use</t>
  </si>
  <si>
    <t>Change to size of the coal plant units</t>
  </si>
  <si>
    <t xml:space="preserve">10x difference </t>
  </si>
  <si>
    <t>Citation</t>
  </si>
  <si>
    <t xml:space="preserve">Chernyakhovskiy, Ilya, Mohit Joshi, David Palchak and Amy Rose. 2021. Energy Storage in South Asia: Understanding the Role of Grid-Connected Energy Storage in South Asia’s Power Sector Transformation. Golden, CO: National Renewable Energy Laboratory. NREL/TP-6A20-79915. https://www.nrel.gov/docs/fy21osti/79915.pdf. </t>
  </si>
  <si>
    <t xml:space="preserve"> https://www.nrel.gov/docs/fy21osti/79915.pdf</t>
  </si>
  <si>
    <t xml:space="preserve">Inputs from NREL 2030 Baseline Marginal Cost, shared by authors. 
Request access: https://www.nrel.gov/analysis/reeds/request-access-form.html </t>
  </si>
  <si>
    <t>IEX</t>
  </si>
  <si>
    <t>NETL</t>
  </si>
  <si>
    <t>Tata Power consultation</t>
  </si>
  <si>
    <t xml:space="preserve">CEA report, 85 pulverized </t>
  </si>
  <si>
    <t>https://www.mhi.co.jp/technology/review/pdf/e444/e444015.pdf</t>
  </si>
  <si>
    <t>minpower</t>
  </si>
  <si>
    <t>"To maintain this condition, a minimum amount of steam (about 15 to 20% of the rated amount) must continue to flow. The cost to maintain this flow of steam goes to waste."</t>
  </si>
  <si>
    <t>https://www.powermag.com/managing-minimum-load/</t>
  </si>
  <si>
    <t>https://www.nrel.gov/docs/fy12osti/55433.pdf</t>
  </si>
  <si>
    <t>kumar</t>
  </si>
  <si>
    <r>
      <rPr>
        <b/>
        <sz val="12"/>
        <color theme="1"/>
        <rFont val="Calibri"/>
        <family val="2"/>
        <scheme val="minor"/>
      </rPr>
      <t xml:space="preserve">Table 1-3: </t>
    </r>
    <r>
      <rPr>
        <sz val="12"/>
        <color theme="1"/>
        <rFont val="Calibri"/>
        <family val="2"/>
        <scheme val="minor"/>
      </rPr>
      <t xml:space="preserve">Startup Fuel Input and Other Startup Costs
</t>
    </r>
    <r>
      <rPr>
        <b/>
        <sz val="12"/>
        <color theme="1"/>
        <rFont val="Calibri"/>
        <family val="2"/>
        <scheme val="minor"/>
      </rPr>
      <t xml:space="preserve">Table 1-5: </t>
    </r>
    <r>
      <rPr>
        <sz val="12"/>
        <color theme="1"/>
        <rFont val="Calibri"/>
        <family val="2"/>
        <scheme val="minor"/>
      </rPr>
      <t>Typical Damage from Cycling</t>
    </r>
  </si>
  <si>
    <r>
      <t>Rhys Jacob</t>
    </r>
    <r>
      <rPr>
        <i/>
        <sz val="11"/>
        <color rgb="FF777777"/>
        <rFont val="Arial"/>
        <family val="2"/>
      </rPr>
      <t>, </t>
    </r>
    <r>
      <rPr>
        <sz val="11"/>
        <color rgb="FF777777"/>
        <rFont val="Arial"/>
        <family val="2"/>
      </rPr>
      <t>Wasim Saman</t>
    </r>
    <r>
      <rPr>
        <i/>
        <sz val="11"/>
        <color rgb="FF777777"/>
        <rFont val="Arial"/>
        <family val="2"/>
      </rPr>
      <t>, and </t>
    </r>
    <r>
      <rPr>
        <sz val="11"/>
        <color rgb="FF777777"/>
        <rFont val="Arial"/>
        <family val="2"/>
      </rPr>
      <t>Frank Bruno, , "Capital cost expenditure of high temperature latent and sensible thermal energy storage systems", AIP Conference Proceedings 1850, 080012 (2017) https://doi.org/10.1063/1.4984433</t>
    </r>
  </si>
  <si>
    <t xml:space="preserve"> All costs have been converted to $US using relevant chemical engineering cost price index (CEPCI) for a reference year of 2015</t>
  </si>
  <si>
    <t>https://www.mdpi.com/1996-1073/14/4/1197</t>
  </si>
  <si>
    <t>caraballo</t>
  </si>
  <si>
    <r>
      <rPr>
        <b/>
        <sz val="12"/>
        <color theme="1"/>
        <rFont val="Calibri"/>
        <family val="2"/>
        <scheme val="minor"/>
      </rPr>
      <t xml:space="preserve">Table 2: </t>
    </r>
    <r>
      <rPr>
        <sz val="12"/>
        <color theme="1"/>
        <rFont val="Calibri"/>
        <family val="2"/>
        <scheme val="minor"/>
      </rPr>
      <t>Properties of selected molten salt TES materials, density as a funciton of temperature (average density was used)</t>
    </r>
  </si>
  <si>
    <t xml:space="preserve">https://www.nrel.gov/docs/fy12osti/53066.pdf </t>
  </si>
  <si>
    <t>glatzmaier</t>
  </si>
  <si>
    <r>
      <rPr>
        <b/>
        <sz val="12"/>
        <color theme="1"/>
        <rFont val="Calibri"/>
        <family val="2"/>
        <scheme val="minor"/>
      </rPr>
      <t>Table 1:</t>
    </r>
    <r>
      <rPr>
        <sz val="12"/>
        <color theme="1"/>
        <rFont val="Calibri"/>
        <family val="2"/>
        <scheme val="minor"/>
      </rPr>
      <t xml:space="preserve"> Component costs for direct, two-tank molten salt TES system (base case) (p.7)
The components listed in Table 1 do not include the hot and cold tank salt pumps.  The convention for power towers is to include the cold-tank pump with the receiver system and the hot-tank pump with the steam generation system.</t>
    </r>
  </si>
  <si>
    <t>CEEW Trilemma report</t>
  </si>
  <si>
    <t>CEEW full dataset shared from Trilemma report</t>
  </si>
  <si>
    <t>Inflation calcs</t>
  </si>
  <si>
    <t xml:space="preserve">https://www.inflationtool.com/us-dollar/2011-to-present-value </t>
  </si>
  <si>
    <t>https://www.davidpublisher.com/Public/uploads/Contribute/5c6f6c1253ec6.pdf</t>
  </si>
  <si>
    <t>ladkany</t>
  </si>
  <si>
    <t>Corrosion rates, design thickness of stainless steel and carbon steel, structural design of the tanks in detail</t>
  </si>
  <si>
    <t>https://linkinghub.elsevier.com/retrieve/pii/S2095809921000473</t>
  </si>
  <si>
    <t>ding</t>
  </si>
  <si>
    <t xml:space="preserve"> </t>
  </si>
  <si>
    <t xml:space="preserve">https://www.kloecknermetals.com/blog/what-is-the-density-of-stainless-steel/#:~:text=Let's%20look%20at%20the%20two,about%207980%20kg%2Fm3. </t>
  </si>
  <si>
    <t>density of stainless steels</t>
  </si>
  <si>
    <t xml:space="preserve">https://www.industrialmetalsupply.com/blog/carbon-steel-vs-stainless-steel#:~:text=The%20average%20Density%20of%20Carbon,is%20less%20than%20stainless%20steel.&amp;text=Depending%20on%20grade%2C%20the%20coefficient,%2F%20(m%20%C2%B0C). </t>
  </si>
  <si>
    <t xml:space="preserve">density of carbon steel </t>
  </si>
  <si>
    <t>https://inldigitallibrary.inl.gov/sites/sti/sti/5554590.pdf</t>
  </si>
  <si>
    <t>Nuclear heat exchanger report</t>
  </si>
  <si>
    <t>https://link.springer.com/content/pdf/10.1007/s11081-019-09449-y.pdf</t>
  </si>
  <si>
    <t>hamilton dispatch</t>
  </si>
  <si>
    <t>for $/start of power cycle, table 3, costs are comparable to [8]</t>
  </si>
  <si>
    <t>https://www.in2013dollars.com/us/inflation/2010?amount=301693000</t>
  </si>
  <si>
    <t xml:space="preserve">inflation </t>
  </si>
  <si>
    <t>https://www.sciencedirect.com/science/article/pii/S0360544222009604</t>
  </si>
  <si>
    <t>gong</t>
  </si>
  <si>
    <t>q loss Table 1: Parameters used in the study. The corresponding variables used in the description of the simulation are also indicated.</t>
  </si>
  <si>
    <t>https://www.nrel.gov/docs/fy06osti/40166.pdf</t>
  </si>
  <si>
    <t>2002/2004</t>
  </si>
  <si>
    <t xml:space="preserve">nrel doc on nitrate salt pumps </t>
  </si>
  <si>
    <t>https://info.ornl.gov/sites/publications/files/Pub62809.pdf</t>
  </si>
  <si>
    <t>robb</t>
  </si>
  <si>
    <t>head, Table 1: Summary of pumps developed during the ANP and MSR programs</t>
  </si>
  <si>
    <t>Future of energy storage report</t>
  </si>
  <si>
    <t>chargers costs and charging efficiency, Table 4.3</t>
  </si>
  <si>
    <t>Aspen Models</t>
  </si>
  <si>
    <t xml:space="preserve">github to aspen files and ipynb? </t>
  </si>
  <si>
    <t>https://tradingeconomics.com/india/inflation-cpi#:~:text=India%20Inflation%20Rate%20Eases%20Only,to%20market%20forecasts%20of%206.35%25.</t>
  </si>
  <si>
    <t>inflation rate of india</t>
  </si>
  <si>
    <t>https://www.eia.gov/analysis/studies/powerplants/capitalcost/pdf/capital_cost_AEO2020.pdf</t>
  </si>
  <si>
    <t>EIA capital cost estimates 2019</t>
  </si>
  <si>
    <t>https://cea.nic.in/wp-content/uploads/2020/04/report_85_pul_coal.pdf</t>
  </si>
  <si>
    <t xml:space="preserve">CEA &amp; GIZ report - used for aspen study. State and central gov ownership and operational plants across different states in 2008 </t>
  </si>
  <si>
    <t>same as source [5]</t>
  </si>
  <si>
    <t>https://documents1.worldbank.org/curated/en/144181629878602689/pdf/Coal-Plant-Repurposing-for-Ageing-Coal-Fleets-in-Developing-Countries-Technical-Report.pdf</t>
  </si>
  <si>
    <t>Table 2.1</t>
  </si>
  <si>
    <t>First India Technology report</t>
  </si>
  <si>
    <t xml:space="preserve">https://cea.nic.in/?lang=en&amp;s=first+technology+catalogue </t>
  </si>
  <si>
    <t>https://www.forbes.com/advisor/money-transfer/currency-converter/inr-usd/?amount=10000000</t>
  </si>
  <si>
    <t>Crescent Dunes sizing estimation through Google maps satellite view</t>
  </si>
  <si>
    <t>CSP flexibility - https://castalia-advisors.com/wp-content/uploads/2021/07/Flexibility-of-CSP-White-Paper.pdf</t>
  </si>
  <si>
    <t>castalia</t>
  </si>
  <si>
    <t>Elsido, et. al.  "Multiperiod optimization of heat exchanger networks with integrated thermodynamic cycles and thermal storages"</t>
  </si>
  <si>
    <t>https://pdf.sciencedirectassets.com/271098/1-s2.0-S0196890417X00125/1-s2.0-S0196890417304612/main.pdf?X-Amz-Security-Token=IQoJb3JpZ2luX2VjEB8aCXVzLWVhc3QtMSJIMEYCIQDsW0VObe0wgsObHTrB6JRHOxJXlPwkL%2F8wGy3L09hAqQIhAPH6P96C4xWMyq6SzBfDvB7wc6%2BhVOaobAtg%2Bk6cY1KnKrMFCBcQBRoMMDU5MDAzNTQ2ODY1IgxQRWDC3WG7FIu1rZQqkAVYDdLRGLgRf2RNUwKk5p57aG5yrDMCXYnuQFmDmdOSW%2FEofIQdY9w%2B9NyqB7HER3Hdz8i52OPmBM3DmFZCQJpG1Cx9rPKYv098mEgPv%2B9ZwZXWGBKVsO2Cl3z7Ss6UVfk1K72r1P%2FlbbNGXG1rXMLfczSMveuogmQuUNL2J%2Fn4H3lVasqQwX1oqVe5j7oxtDjdIFKyQVj3KpL98SvSoyyWd%2B6c%2Bc56NJZPfXTV3sFkoPT34VSYSDHTCuxFtbn1hjo30IqoRX%2BrWvFtkQM0FoLFcfBbVfNrN2EkF9ukOlHqjrE5MmLaNzs8K7FMmnlKrqGert2d2NiUDb2KHNWzvgj%2B5TSNsyXsL3pboIkGRc1QTHdObGCCChDrY0fk8jmVMyQuOL3%2B6asjOfP3ORf8sw33nY2a7hCwjZMEx%2FH7sig5Iwbca9b5Qm87d1zBsO1a6dsqpPvTP2SNRTohFeo%2FZxvOBWCUEbr8aEH7wX6FlhlN2zz5yUATtv8COzgkkRTKMAHgxgpOF1R3btc22%2Byw9QUx4JFgBlwMRxZFKKlJ0OKXx6GSNeicnT0jY1tcHRgZ1gcY0cX89bGMUy%2BlD%2Bnn1oTOptv44TYmIDZB0tFZ0ApZZec48xf5Uk%2FWFxx2MrHQKT2PiQ0Fr8qb7KQb%2BZo%2B%2FGN%2Fpjj7VB5LL0zyWB3LEX2XtS61RdahntDlYJjyU01ZBk48ORhf%2FBTNMd3MKtwRf0K2oC4sKArA5qnICHvH46A21d%2B4gtp7JoW3Kjo7wsGGEvYF1E49u634sejm9y4cD5yPLu1fAeCFtT0%2FKlrMdQTHGBZ9acb1fM38xU1%2FPQO0MlH7PzbYgKCq4n%2BBwIadmQ1NTE%2BoN319%2BL7PxEeuJfjFFTCZw7aoBjqwAXTs205vEaO4UDpdysi0j5%2Fu%2By44ZCINhVWPU3%2BKNK1E6%2BuB5jqMBjKD8dFTTBmtudRYKelZVEmTUH8efRFpIEoEGcJ7ff1P8u2Nc9h7MgZjgfUe8ugEdjbrch%2Fl9TnYLGTdec9clk58isPLuGeuYe0Ga1UDiHc3Tw96bNMvwoS0fAkkPuiNKmPQ0rxHKhJ%2BJ5qr1uSF4Kc2W7jsI3oZgOhoC28nmKq52Z2xk7Zl%2BAht&amp;X-Amz-Algorithm=AWS4-HMAC-SHA256&amp;X-Amz-Date=20230922T145644Z&amp;X-Amz-SignedHeaders=host&amp;X-Amz-Expires=300&amp;X-Amz-Credential=ASIAQ3PHCVTYVT63LVXR%2F20230922%2Fus-east-1%2Fs3%2Faws4_request&amp;X-Amz-Signature=095db2535fca39fc8f5b37e171041b792b744c2d6a8894fd27d07a379d507e4b&amp;hash=2f89bc5359f654e637e89db83f6ae8cdedab614900a71bf8bce5838d3c4bf45d&amp;host=68042c943591013ac2b2430a89b270f6af2c76d8dfd086a07176afe7c76c2c61&amp;pii=S0196890417304612&amp;tid=spdf-41365cda-2739-4102-9d57-f59bcf4e1613&amp;sid=89b5416026914749c498bb895ca45778fb76gxrqa&amp;type=client&amp;tsoh=d3d3LnNjaWVuY2VkaXJlY3QuY29t&amp;ua=0f125a50030151505457&amp;rr=80ab65785d454ce7&amp;cc=us</t>
  </si>
  <si>
    <t>https://cea.nic.in/wp-content/uploads/baseline/2023/01/Approved_report_emission__2021_22.pdf</t>
  </si>
  <si>
    <t xml:space="preserve">CEPI  Chemical Engineering magazine. The index is published monthly with indices being 3 months behind the publication date.
</t>
  </si>
  <si>
    <t>[31],[3]</t>
  </si>
  <si>
    <t>capacity factor</t>
  </si>
  <si>
    <t>$1k/MW per year FOM</t>
  </si>
  <si>
    <t xml:space="preserve">$/MWh  dispatch of FOM </t>
  </si>
  <si>
    <t>$/year for Fixed O&amp;M of 500 MW plant</t>
  </si>
  <si>
    <t>cap wind</t>
  </si>
  <si>
    <t>cap solar</t>
  </si>
  <si>
    <t>Li-ion power</t>
  </si>
  <si>
    <t>Li-ion storage</t>
  </si>
  <si>
    <t>investment cost ($1k)</t>
  </si>
  <si>
    <t>FOM ($1k)</t>
  </si>
  <si>
    <t>dispatch</t>
  </si>
  <si>
    <t>coal</t>
  </si>
  <si>
    <t>LCOE calc</t>
  </si>
  <si>
    <t>wind</t>
  </si>
  <si>
    <t>solar</t>
  </si>
  <si>
    <t>coal with 80% c.f.</t>
  </si>
  <si>
    <t>coal with 4% c.f.</t>
  </si>
  <si>
    <t>$30-40/mwh</t>
  </si>
  <si>
    <t>variable costs</t>
  </si>
  <si>
    <t>Variable cost: 7.87-9.49 Rs/Kwh</t>
  </si>
  <si>
    <t>14,083-16,242 Rs/Ton (April22 /May 22 Fuel cost) and actual HHV is 4800Kcal/Kg (20MJ/Kg) but design is  ~ 5125 Kcal/kg (21.4MJ/Kg)</t>
  </si>
  <si>
    <t>3.76 INR/kWh</t>
  </si>
  <si>
    <t>3221 kCal/kWh, actual station heat rate, based on regression and actual average PLF . 
4189 MMBtu = 1.227 kWh</t>
  </si>
  <si>
    <t xml:space="preserve">1.2 rupees/kWh fuel costs for more efficient / newer pithead plants (1.4 for current) </t>
  </si>
  <si>
    <t>Maharashtra’s coal flexibility is more expensive, creating incentives to
maintain its level of output and import flexibility from other states when available, which is much
more likely in the 55% and 40% minimum generation sensitivities., 2578 INR/MWh at max capacity, 2916 INR/MWh at 55% min (MH specfic)</t>
  </si>
  <si>
    <t>total VOC</t>
  </si>
  <si>
    <t>0.5 to 4 INR/kWh total variable cost. Conversions below</t>
  </si>
  <si>
    <t>10 times higher than the brookings report</t>
  </si>
  <si>
    <t>4 times higher than the greening grid study</t>
  </si>
  <si>
    <t>23 times higher than the cheapest VC from CEEW</t>
  </si>
  <si>
    <t>3 times higher than the most expensive VC from CEEW</t>
  </si>
  <si>
    <t>times higher than highest recalculated Tata Power values</t>
  </si>
  <si>
    <t>times higher than lowest recalculated Tata Power values</t>
  </si>
  <si>
    <t>These are reported as cr INR but I think they meant INR because this is huge number?</t>
  </si>
  <si>
    <t>coal plant start up fuel for large subcritical plant (14 MMBtu / MW capacity), but first india tech reports 1800 Mcal/MW for cold start up, and 252.164401 Mcal = 1 Mmbtu, which is 7 MMBtu/MW capacity, or 2 MWh per MW</t>
  </si>
  <si>
    <t xml:space="preserve"> Rs. 387.30 Crores which is $46.5 million</t>
  </si>
  <si>
    <t>fixed cost</t>
  </si>
  <si>
    <t xml:space="preserve">NREL ReEDS: Rose, Amy, Ilya Chernyakhovskiy, David Palchak, Sam Koebrich, and Mohit Joshi. 2020. Least-Cost Pathways for India’s Electric Power Sector. Golden, CO: National Renewable Energy Laboratory. NREL/TP-6A20-76153. https://www.nrel.gov/docs/fy20osti/76153.pdf.  </t>
  </si>
  <si>
    <t>transport charge: 1200 INR/MWh and and 1.593 INR per kilowatt-hour base base (1593 INR/MWh)</t>
  </si>
  <si>
    <t>4 times higher than NREL ReEDS 2020 study</t>
  </si>
  <si>
    <t>$40/MWh, coal witih 80% c.f. and 4x less VOM (doesn’t include startup costs)</t>
  </si>
  <si>
    <t>144 $/MWh</t>
  </si>
  <si>
    <t xml:space="preserve">Variable operating cost of the coal plant, from Tata Power reported data which is a high estimate. See "Coal Costs" sheet for more comparison. </t>
  </si>
  <si>
    <t xml:space="preserve">Fuel cost of coal calculated from CEEW and Tata Power. This is on the higher end. See "Coal Costs" sheet for comparisons
</t>
  </si>
  <si>
    <t xml:space="preserve">This filename changes based on the wind capacity factor input
</t>
  </si>
  <si>
    <t xml:space="preserve">This filename changes based on the solar capacity factor input
</t>
  </si>
  <si>
    <t>MWh</t>
  </si>
  <si>
    <t xml:space="preserve">This filename changes based on the demand profile input. The demand is divided in the code by w_demand (another parameter) </t>
  </si>
  <si>
    <t>path for the CSV filename for solar profile</t>
  </si>
  <si>
    <t>path for the CSV filename for wind profile</t>
  </si>
  <si>
    <t>path for CSV filename for demand profile</t>
  </si>
  <si>
    <t>[1]</t>
  </si>
  <si>
    <t>Marc data</t>
  </si>
  <si>
    <t>[39]</t>
  </si>
  <si>
    <t>0.778 for Trombay Unit 5 reported value</t>
  </si>
  <si>
    <t xml:space="preserve">base heat exchanger costs derived, calculations in "Calculation heat exchanger" sheet. </t>
  </si>
  <si>
    <t xml:space="preserve">This is not used in the model with a heat exchanger network, but may be used for comparisons. </t>
  </si>
  <si>
    <t>Fixed operating and maintenance costs of TES. Calculated from taking a percentage of the coal plant FOM, see sheet "TES_FOM"</t>
  </si>
  <si>
    <t>VOM from water usage mostly, scaling with dispatch</t>
  </si>
  <si>
    <t xml:space="preserve">This is not used in the model. </t>
  </si>
  <si>
    <t>This is not used in the model</t>
  </si>
  <si>
    <t>[31]</t>
  </si>
  <si>
    <t>for superheater. See "Calculations heat exchanger" sheet</t>
  </si>
  <si>
    <t>evaporator. See "Calculations heat exchanger" sheet</t>
  </si>
  <si>
    <t>for economizer. See "Calculations heat exchanger" sheet</t>
  </si>
  <si>
    <t>superheater. See "Calculations heat exchanger" sheet</t>
  </si>
  <si>
    <t>economizer. See "Calculations heat exchanger" sheet</t>
  </si>
  <si>
    <t>See "Calculations heat exchanger" sheet</t>
  </si>
  <si>
    <t>modeling decision</t>
  </si>
  <si>
    <t>baseline emissions of the system with coal. If set to 0 then it does not enable the constraint in the model</t>
  </si>
  <si>
    <t xml:space="preserve">Calculated Values </t>
  </si>
  <si>
    <t>Fuel cost of coal uses a 15000 Rs per ton given by Tata Power</t>
  </si>
  <si>
    <t>lower VOC</t>
  </si>
  <si>
    <t>upper VOC</t>
  </si>
  <si>
    <t>NREL [40]</t>
  </si>
  <si>
    <t>Brookings report</t>
  </si>
  <si>
    <t xml:space="preserve">Brookings report [41] </t>
  </si>
  <si>
    <t>Greening the Grid (NREL) [42]</t>
  </si>
  <si>
    <t>Tata Power Calculation Notes [4]</t>
  </si>
  <si>
    <t>Derived Values from Tata Power [4]</t>
  </si>
  <si>
    <t>CEEW values [12],[13]</t>
  </si>
  <si>
    <t xml:space="preserve">Greening the Grid (NREL) </t>
  </si>
  <si>
    <t>parameter name</t>
  </si>
  <si>
    <t>[43]</t>
  </si>
  <si>
    <t>max flow rate (kg/s) from CSP reports</t>
  </si>
  <si>
    <t xml:space="preserve">percentage of capex that is fixed costs </t>
  </si>
  <si>
    <t>Name</t>
  </si>
  <si>
    <t>design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</si>
</sst>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0"/>
    <numFmt numFmtId="165" formatCode="0.000"/>
    <numFmt numFmtId="176" formatCode="&quot;$&quot;#,##0.00"/>
    <numFmt numFmtId="177" formatCode="0.0"/>
  </numFmts>
  <fonts count="3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777777"/>
      <name val="Arial"/>
      <family val="2"/>
    </font>
    <font>
      <i/>
      <sz val="11"/>
      <color rgb="FF777777"/>
      <name val="Arial"/>
      <family val="2"/>
    </font>
    <font>
      <sz val="11"/>
      <color rgb="FF000000"/>
      <name val="Arial"/>
      <family val="2"/>
    </font>
    <font>
      <b/>
      <sz val="16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CE9178"/>
      <name val="Menlo"/>
      <family val="2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2"/>
      <color rgb="FFFF0000"/>
      <name val="Calibri (Body)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Menlo"/>
      <family val="2"/>
    </font>
    <font>
      <b/>
      <sz val="20"/>
      <color rgb="FFFFFFFF"/>
      <name val="Calibri"/>
      <family val="2"/>
      <scheme val="minor"/>
    </font>
    <font>
      <sz val="9.5"/>
      <color rgb="FF000000"/>
      <name val="Lucida Sans Unicode"/>
    </font>
    <font>
      <sz val="12"/>
      <color rgb="FFB5CEA8"/>
      <name val="Menlo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333333"/>
      <name val="Calibri"/>
      <family val="2"/>
      <scheme val="minor"/>
    </font>
    <font>
      <i/>
      <sz val="10"/>
      <color theme="1"/>
      <name val="Helvetica"/>
      <family val="2"/>
    </font>
    <font>
      <sz val="12"/>
      <color rgb="FF33333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>
      <alignment wrapText="1"/>
    </xf>
    <xf numFmtId="0" fontId="3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446">
    <xf numFmtId="0" fontId="0" fillId="0" borderId="0" xfId="0">
      <alignment wrapText="1"/>
    </xf>
    <xf numFmtId="0" fontId="1" fillId="0" borderId="0" xfId="0" applyFont="1">
      <alignment wrapText="1"/>
    </xf>
    <xf numFmtId="0" fontId="0" fillId="0" borderId="1" xfId="0" applyBorder="1">
      <alignment wrapText="1"/>
    </xf>
    <xf numFmtId="0" fontId="0" fillId="0" borderId="2" xfId="0" applyBorder="1">
      <alignment wrapText="1"/>
    </xf>
    <xf numFmtId="0" fontId="0" fillId="0" borderId="3" xfId="0" applyBorder="1">
      <alignment wrapText="1"/>
    </xf>
    <xf numFmtId="0" fontId="0" fillId="0" borderId="7" xfId="0" applyBorder="1">
      <alignment wrapText="1"/>
    </xf>
    <xf numFmtId="0" fontId="0" fillId="0" borderId="8" xfId="0" applyBorder="1">
      <alignment wrapText="1"/>
    </xf>
    <xf numFmtId="0" fontId="0" fillId="3" borderId="0" xfId="0" applyFill="1">
      <alignment wrapText="1"/>
    </xf>
    <xf numFmtId="0" fontId="1" fillId="3" borderId="0" xfId="0" applyFont="1" applyFill="1">
      <alignment wrapText="1"/>
    </xf>
    <xf numFmtId="0" fontId="4" fillId="0" borderId="0" xfId="0" applyFont="1">
      <alignment wrapText="1"/>
    </xf>
    <xf numFmtId="0" fontId="5" fillId="2" borderId="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 shrinkToFit="1"/>
    </xf>
    <xf numFmtId="0" fontId="1" fillId="0" borderId="16" xfId="0" applyFont="1" applyBorder="1">
      <alignment wrapText="1"/>
    </xf>
    <xf numFmtId="0" fontId="1" fillId="0" borderId="17" xfId="0" applyFont="1" applyBorder="1">
      <alignment wrapText="1"/>
    </xf>
    <xf numFmtId="0" fontId="1" fillId="0" borderId="5" xfId="0" applyFont="1" applyBorder="1">
      <alignment wrapText="1"/>
    </xf>
    <xf numFmtId="0" fontId="1" fillId="0" borderId="18" xfId="0" applyFont="1" applyBorder="1">
      <alignment wrapText="1"/>
    </xf>
    <xf numFmtId="0" fontId="3" fillId="0" borderId="0" xfId="1" applyAlignment="1">
      <alignment wrapText="1"/>
    </xf>
    <xf numFmtId="0" fontId="6" fillId="0" borderId="0" xfId="0" applyFont="1">
      <alignment wrapText="1"/>
    </xf>
    <xf numFmtId="0" fontId="0" fillId="0" borderId="10" xfId="0" applyBorder="1">
      <alignment wrapText="1"/>
    </xf>
    <xf numFmtId="0" fontId="4" fillId="0" borderId="7" xfId="0" applyFont="1" applyBorder="1">
      <alignment wrapText="1"/>
    </xf>
    <xf numFmtId="0" fontId="4" fillId="0" borderId="8" xfId="0" applyFont="1" applyBorder="1">
      <alignment wrapText="1"/>
    </xf>
    <xf numFmtId="0" fontId="4" fillId="0" borderId="1" xfId="0" applyFont="1" applyBorder="1">
      <alignment wrapText="1"/>
    </xf>
    <xf numFmtId="0" fontId="4" fillId="0" borderId="2" xfId="0" applyFont="1" applyBorder="1">
      <alignment wrapText="1"/>
    </xf>
    <xf numFmtId="0" fontId="4" fillId="0" borderId="3" xfId="0" applyFont="1" applyBorder="1">
      <alignment wrapText="1"/>
    </xf>
    <xf numFmtId="0" fontId="1" fillId="0" borderId="13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3" fillId="0" borderId="8" xfId="1" applyBorder="1" applyAlignment="1">
      <alignment wrapText="1"/>
    </xf>
    <xf numFmtId="0" fontId="0" fillId="0" borderId="11" xfId="0" applyBorder="1">
      <alignment wrapText="1"/>
    </xf>
    <xf numFmtId="0" fontId="2" fillId="0" borderId="8" xfId="1" applyFont="1" applyBorder="1" applyAlignment="1">
      <alignment wrapText="1"/>
    </xf>
    <xf numFmtId="2" fontId="0" fillId="0" borderId="0" xfId="0" applyNumberFormat="1">
      <alignment wrapText="1"/>
    </xf>
    <xf numFmtId="0" fontId="0" fillId="0" borderId="20" xfId="0" applyBorder="1">
      <alignment wrapText="1"/>
    </xf>
    <xf numFmtId="2" fontId="0" fillId="0" borderId="21" xfId="0" applyNumberFormat="1" applyBorder="1">
      <alignment wrapText="1"/>
    </xf>
    <xf numFmtId="2" fontId="0" fillId="0" borderId="22" xfId="0" applyNumberFormat="1" applyBorder="1">
      <alignment wrapText="1"/>
    </xf>
    <xf numFmtId="0" fontId="1" fillId="0" borderId="1" xfId="0" applyFont="1" applyBorder="1">
      <alignment wrapText="1"/>
    </xf>
    <xf numFmtId="0" fontId="1" fillId="0" borderId="3" xfId="0" applyFont="1" applyBorder="1">
      <alignment wrapText="1"/>
    </xf>
    <xf numFmtId="0" fontId="1" fillId="0" borderId="22" xfId="0" applyFont="1" applyBorder="1">
      <alignment wrapText="1"/>
    </xf>
    <xf numFmtId="0" fontId="0" fillId="0" borderId="14" xfId="0" applyBorder="1">
      <alignment wrapText="1"/>
    </xf>
    <xf numFmtId="0" fontId="0" fillId="0" borderId="13" xfId="0" applyBorder="1">
      <alignment wrapText="1"/>
    </xf>
    <xf numFmtId="0" fontId="0" fillId="0" borderId="15" xfId="0" applyBorder="1">
      <alignment wrapText="1"/>
    </xf>
    <xf numFmtId="0" fontId="0" fillId="0" borderId="22" xfId="0" applyBorder="1">
      <alignment wrapText="1"/>
    </xf>
    <xf numFmtId="0" fontId="0" fillId="0" borderId="9" xfId="0" applyBorder="1">
      <alignment wrapText="1"/>
    </xf>
    <xf numFmtId="0" fontId="0" fillId="0" borderId="21" xfId="0" applyBorder="1">
      <alignment wrapText="1"/>
    </xf>
    <xf numFmtId="0" fontId="0" fillId="0" borderId="19" xfId="0" applyBorder="1">
      <alignment wrapText="1"/>
    </xf>
    <xf numFmtId="0" fontId="1" fillId="0" borderId="19" xfId="0" applyFont="1" applyBorder="1" applyAlignment="1">
      <alignment horizontal="center" wrapText="1"/>
    </xf>
    <xf numFmtId="0" fontId="13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4" fillId="0" borderId="13" xfId="0" applyFont="1" applyBorder="1">
      <alignment wrapText="1"/>
    </xf>
    <xf numFmtId="0" fontId="0" fillId="7" borderId="14" xfId="0" applyFill="1" applyBorder="1">
      <alignment wrapText="1"/>
    </xf>
    <xf numFmtId="0" fontId="0" fillId="7" borderId="13" xfId="0" applyFill="1" applyBorder="1">
      <alignment wrapText="1"/>
    </xf>
    <xf numFmtId="0" fontId="0" fillId="7" borderId="15" xfId="0" applyFill="1" applyBorder="1">
      <alignment wrapText="1"/>
    </xf>
    <xf numFmtId="0" fontId="0" fillId="7" borderId="1" xfId="0" applyFill="1" applyBorder="1">
      <alignment wrapText="1"/>
    </xf>
    <xf numFmtId="0" fontId="0" fillId="7" borderId="2" xfId="0" applyFill="1" applyBorder="1">
      <alignment wrapText="1"/>
    </xf>
    <xf numFmtId="0" fontId="0" fillId="7" borderId="3" xfId="0" applyFill="1" applyBorder="1">
      <alignment wrapText="1"/>
    </xf>
    <xf numFmtId="3" fontId="4" fillId="0" borderId="2" xfId="0" applyNumberFormat="1" applyFont="1" applyBorder="1">
      <alignment wrapText="1"/>
    </xf>
    <xf numFmtId="0" fontId="4" fillId="7" borderId="13" xfId="0" applyFont="1" applyFill="1" applyBorder="1">
      <alignment wrapText="1"/>
    </xf>
    <xf numFmtId="2" fontId="0" fillId="7" borderId="13" xfId="0" applyNumberFormat="1" applyFill="1" applyBorder="1">
      <alignment wrapText="1"/>
    </xf>
    <xf numFmtId="0" fontId="4" fillId="7" borderId="0" xfId="0" applyFont="1" applyFill="1">
      <alignment wrapText="1"/>
    </xf>
    <xf numFmtId="0" fontId="0" fillId="7" borderId="0" xfId="0" applyFill="1">
      <alignment wrapText="1"/>
    </xf>
    <xf numFmtId="2" fontId="1" fillId="0" borderId="0" xfId="0" applyNumberFormat="1" applyFo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2" fontId="0" fillId="0" borderId="8" xfId="0" applyNumberFormat="1" applyBorder="1">
      <alignment wrapText="1"/>
    </xf>
    <xf numFmtId="0" fontId="3" fillId="0" borderId="2" xfId="1" applyBorder="1" applyAlignment="1">
      <alignment wrapText="1"/>
    </xf>
    <xf numFmtId="0" fontId="4" fillId="7" borderId="14" xfId="0" applyFont="1" applyFill="1" applyBorder="1">
      <alignment wrapText="1"/>
    </xf>
    <xf numFmtId="0" fontId="4" fillId="7" borderId="15" xfId="0" applyFont="1" applyFill="1" applyBorder="1">
      <alignment wrapText="1"/>
    </xf>
    <xf numFmtId="0" fontId="4" fillId="7" borderId="7" xfId="0" applyFont="1" applyFill="1" applyBorder="1">
      <alignment wrapText="1"/>
    </xf>
    <xf numFmtId="0" fontId="4" fillId="7" borderId="8" xfId="0" applyFont="1" applyFill="1" applyBorder="1">
      <alignment wrapText="1"/>
    </xf>
    <xf numFmtId="0" fontId="4" fillId="7" borderId="2" xfId="0" applyFont="1" applyFill="1" applyBorder="1">
      <alignment wrapText="1"/>
    </xf>
    <xf numFmtId="0" fontId="0" fillId="7" borderId="8" xfId="0" applyFill="1" applyBorder="1">
      <alignment wrapText="1"/>
    </xf>
    <xf numFmtId="0" fontId="11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1" fontId="0" fillId="7" borderId="0" xfId="0" applyNumberFormat="1" applyFill="1">
      <alignment wrapText="1"/>
    </xf>
    <xf numFmtId="0" fontId="5" fillId="5" borderId="6" xfId="0" applyFont="1" applyFill="1" applyBorder="1" applyAlignment="1">
      <alignment horizontal="center" vertical="center" wrapText="1" shrinkToFit="1"/>
    </xf>
    <xf numFmtId="2" fontId="0" fillId="7" borderId="2" xfId="0" applyNumberFormat="1" applyFill="1" applyBorder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2" fontId="0" fillId="0" borderId="0" xfId="0" applyNumberForma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0" fillId="0" borderId="0" xfId="0" applyNumberFormat="1">
      <alignment wrapText="1"/>
    </xf>
    <xf numFmtId="0" fontId="1" fillId="0" borderId="0" xfId="0" applyFont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3" fontId="0" fillId="0" borderId="0" xfId="0" applyNumberFormat="1">
      <alignment wrapText="1"/>
    </xf>
    <xf numFmtId="0" fontId="1" fillId="0" borderId="8" xfId="0" applyFont="1" applyBorder="1">
      <alignment wrapText="1"/>
    </xf>
    <xf numFmtId="0" fontId="1" fillId="0" borderId="7" xfId="0" applyFont="1" applyBorder="1">
      <alignment wrapText="1"/>
    </xf>
    <xf numFmtId="2" fontId="0" fillId="0" borderId="3" xfId="0" applyNumberFormat="1" applyBorder="1">
      <alignment wrapText="1"/>
    </xf>
    <xf numFmtId="2" fontId="0" fillId="0" borderId="7" xfId="0" applyNumberFormat="1" applyBorder="1">
      <alignment wrapText="1"/>
    </xf>
    <xf numFmtId="2" fontId="0" fillId="0" borderId="1" xfId="0" applyNumberFormat="1" applyBorder="1">
      <alignment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" fontId="0" fillId="3" borderId="7" xfId="0" applyNumberFormat="1" applyFill="1" applyBorder="1" applyAlignment="1">
      <alignment horizontal="center" vertical="center" wrapText="1"/>
    </xf>
    <xf numFmtId="2" fontId="0" fillId="3" borderId="8" xfId="0" applyNumberFormat="1" applyFill="1" applyBorder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 wrapText="1"/>
    </xf>
    <xf numFmtId="165" fontId="0" fillId="3" borderId="20" xfId="0" applyNumberFormat="1" applyFill="1" applyBorder="1" applyAlignment="1">
      <alignment horizontal="center" vertical="center" wrapText="1"/>
    </xf>
    <xf numFmtId="165" fontId="0" fillId="3" borderId="21" xfId="0" applyNumberForma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 wrapText="1"/>
    </xf>
    <xf numFmtId="10" fontId="0" fillId="0" borderId="8" xfId="0" applyNumberFormat="1" applyBorder="1" applyAlignment="1">
      <alignment horizontal="center" vertical="center" wrapText="1"/>
    </xf>
    <xf numFmtId="165" fontId="0" fillId="0" borderId="21" xfId="0" applyNumberFormat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2" fontId="0" fillId="3" borderId="14" xfId="0" applyNumberFormat="1" applyFill="1" applyBorder="1" applyAlignment="1">
      <alignment horizontal="center" vertical="center" wrapText="1"/>
    </xf>
    <xf numFmtId="2" fontId="0" fillId="3" borderId="15" xfId="0" applyNumberFormat="1" applyFill="1" applyBorder="1" applyAlignment="1">
      <alignment horizontal="center" vertical="center" wrapText="1"/>
    </xf>
    <xf numFmtId="2" fontId="0" fillId="3" borderId="13" xfId="0" applyNumberForma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wrapText="1"/>
    </xf>
    <xf numFmtId="165" fontId="0" fillId="3" borderId="21" xfId="0" applyNumberFormat="1" applyFill="1" applyBorder="1" applyAlignment="1">
      <alignment horizontal="center" wrapText="1"/>
    </xf>
    <xf numFmtId="2" fontId="0" fillId="3" borderId="7" xfId="0" applyNumberForma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10" fontId="0" fillId="0" borderId="2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wrapText="1"/>
    </xf>
    <xf numFmtId="165" fontId="0" fillId="3" borderId="20" xfId="0" applyNumberFormat="1" applyFill="1" applyBorder="1" applyAlignment="1">
      <alignment horizontal="center" wrapText="1"/>
    </xf>
    <xf numFmtId="0" fontId="0" fillId="4" borderId="21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4" borderId="23" xfId="0" applyFont="1" applyFill="1" applyBorder="1" applyAlignment="1">
      <alignment horizontal="center" vertical="center" wrapText="1"/>
    </xf>
    <xf numFmtId="164" fontId="0" fillId="0" borderId="0" xfId="0" applyNumberFormat="1">
      <alignment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165" fontId="0" fillId="0" borderId="20" xfId="0" applyNumberFormat="1" applyBorder="1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17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3" fontId="0" fillId="0" borderId="2" xfId="0" applyNumberFormat="1" applyBorder="1">
      <alignment wrapText="1"/>
    </xf>
    <xf numFmtId="0" fontId="0" fillId="2" borderId="11" xfId="0" applyFill="1" applyBorder="1" applyAlignment="1">
      <alignment horizontal="center" vertical="center" wrapText="1"/>
    </xf>
    <xf numFmtId="0" fontId="0" fillId="0" borderId="24" xfId="0" applyBorder="1">
      <alignment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2" fontId="0" fillId="0" borderId="2" xfId="0" applyNumberFormat="1" applyBorder="1">
      <alignment wrapText="1"/>
    </xf>
    <xf numFmtId="0" fontId="0" fillId="7" borderId="9" xfId="0" applyFill="1" applyBorder="1">
      <alignment wrapText="1"/>
    </xf>
    <xf numFmtId="0" fontId="0" fillId="7" borderId="10" xfId="0" applyFill="1" applyBorder="1">
      <alignment wrapText="1"/>
    </xf>
    <xf numFmtId="0" fontId="0" fillId="7" borderId="11" xfId="0" applyFill="1" applyBorder="1">
      <alignment wrapText="1"/>
    </xf>
    <xf numFmtId="0" fontId="0" fillId="2" borderId="9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1" fillId="0" borderId="13" xfId="0" applyFont="1" applyBorder="1">
      <alignment wrapText="1"/>
    </xf>
    <xf numFmtId="0" fontId="1" fillId="0" borderId="15" xfId="0" applyFont="1" applyBorder="1">
      <alignment wrapText="1"/>
    </xf>
    <xf numFmtId="164" fontId="0" fillId="7" borderId="20" xfId="0" applyNumberFormat="1" applyFill="1" applyBorder="1">
      <alignment wrapText="1"/>
    </xf>
    <xf numFmtId="0" fontId="5" fillId="2" borderId="9" xfId="0" applyFont="1" applyFill="1" applyBorder="1" applyAlignment="1">
      <alignment horizontal="center" vertical="center"/>
    </xf>
    <xf numFmtId="0" fontId="0" fillId="3" borderId="9" xfId="0" applyFill="1" applyBorder="1">
      <alignment wrapText="1"/>
    </xf>
    <xf numFmtId="0" fontId="0" fillId="3" borderId="10" xfId="0" applyFill="1" applyBorder="1">
      <alignment wrapText="1"/>
    </xf>
    <xf numFmtId="0" fontId="0" fillId="3" borderId="11" xfId="0" applyFill="1" applyBorder="1">
      <alignment wrapText="1"/>
    </xf>
    <xf numFmtId="0" fontId="4" fillId="0" borderId="15" xfId="0" applyFont="1" applyBorder="1">
      <alignment wrapText="1"/>
    </xf>
    <xf numFmtId="0" fontId="0" fillId="3" borderId="19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10" borderId="25" xfId="0" applyFill="1" applyBorder="1">
      <alignment wrapText="1"/>
    </xf>
    <xf numFmtId="2" fontId="0" fillId="10" borderId="25" xfId="0" applyNumberFormat="1" applyFill="1" applyBorder="1">
      <alignment wrapText="1"/>
    </xf>
    <xf numFmtId="0" fontId="0" fillId="10" borderId="26" xfId="0" applyFill="1" applyBorder="1">
      <alignment wrapText="1"/>
    </xf>
    <xf numFmtId="0" fontId="0" fillId="10" borderId="28" xfId="0" applyFill="1" applyBorder="1">
      <alignment wrapText="1"/>
    </xf>
    <xf numFmtId="0" fontId="0" fillId="3" borderId="27" xfId="0" applyFill="1" applyBorder="1" applyAlignment="1">
      <alignment horizontal="center" vertical="center" wrapText="1"/>
    </xf>
    <xf numFmtId="0" fontId="0" fillId="11" borderId="25" xfId="0" applyFill="1" applyBorder="1">
      <alignment wrapText="1"/>
    </xf>
    <xf numFmtId="0" fontId="0" fillId="0" borderId="0" xfId="0" applyAlignment="1"/>
    <xf numFmtId="0" fontId="24" fillId="0" borderId="0" xfId="0" applyFont="1">
      <alignment wrapText="1"/>
    </xf>
    <xf numFmtId="0" fontId="20" fillId="0" borderId="25" xfId="0" applyFont="1" applyBorder="1" applyAlignment="1">
      <alignment horizontal="center" vertical="top"/>
    </xf>
    <xf numFmtId="0" fontId="9" fillId="12" borderId="14" xfId="0" applyFont="1" applyFill="1" applyBorder="1" applyAlignment="1">
      <alignment horizontal="center" vertical="center" wrapText="1"/>
    </xf>
    <xf numFmtId="0" fontId="9" fillId="12" borderId="13" xfId="0" applyFont="1" applyFill="1" applyBorder="1" applyAlignment="1">
      <alignment horizontal="center" vertical="center" wrapText="1"/>
    </xf>
    <xf numFmtId="0" fontId="9" fillId="12" borderId="15" xfId="0" applyFont="1" applyFill="1" applyBorder="1" applyAlignment="1">
      <alignment horizontal="center" vertical="center" wrapText="1"/>
    </xf>
    <xf numFmtId="2" fontId="4" fillId="0" borderId="0" xfId="0" applyNumberFormat="1" applyFont="1">
      <alignment wrapText="1"/>
    </xf>
    <xf numFmtId="2" fontId="4" fillId="0" borderId="8" xfId="0" applyNumberFormat="1" applyFont="1" applyBorder="1">
      <alignment wrapText="1"/>
    </xf>
    <xf numFmtId="4" fontId="4" fillId="0" borderId="0" xfId="0" applyNumberFormat="1" applyFont="1">
      <alignment wrapText="1"/>
    </xf>
    <xf numFmtId="0" fontId="25" fillId="0" borderId="0" xfId="0" applyFont="1" applyAlignment="1">
      <alignment vertical="center" wrapText="1"/>
    </xf>
    <xf numFmtId="2" fontId="4" fillId="0" borderId="0" xfId="0" applyNumberFormat="1" applyFont="1" applyAlignment="1">
      <alignment horizontal="center" vertical="center" wrapText="1"/>
    </xf>
    <xf numFmtId="0" fontId="0" fillId="0" borderId="33" xfId="0" applyBorder="1">
      <alignment wrapText="1"/>
    </xf>
    <xf numFmtId="0" fontId="0" fillId="0" borderId="34" xfId="0" applyBorder="1">
      <alignment wrapText="1"/>
    </xf>
    <xf numFmtId="0" fontId="0" fillId="9" borderId="34" xfId="0" applyFill="1" applyBorder="1">
      <alignment wrapText="1"/>
    </xf>
    <xf numFmtId="0" fontId="0" fillId="9" borderId="0" xfId="0" applyFill="1">
      <alignment wrapText="1"/>
    </xf>
    <xf numFmtId="0" fontId="0" fillId="9" borderId="8" xfId="0" applyFill="1" applyBorder="1">
      <alignment wrapText="1"/>
    </xf>
    <xf numFmtId="0" fontId="0" fillId="9" borderId="31" xfId="0" applyFill="1" applyBorder="1">
      <alignment wrapText="1"/>
    </xf>
    <xf numFmtId="0" fontId="0" fillId="9" borderId="2" xfId="0" applyFill="1" applyBorder="1">
      <alignment wrapText="1"/>
    </xf>
    <xf numFmtId="0" fontId="0" fillId="9" borderId="3" xfId="0" applyFill="1" applyBorder="1">
      <alignment wrapText="1"/>
    </xf>
    <xf numFmtId="0" fontId="26" fillId="0" borderId="38" xfId="0" applyFont="1" applyBorder="1" applyAlignment="1">
      <alignment horizontal="center" vertical="center" wrapText="1"/>
    </xf>
    <xf numFmtId="0" fontId="0" fillId="0" borderId="40" xfId="0" applyBorder="1">
      <alignment wrapText="1"/>
    </xf>
    <xf numFmtId="0" fontId="26" fillId="0" borderId="39" xfId="0" applyFont="1" applyBorder="1" applyAlignment="1">
      <alignment horizontal="left" vertical="center" wrapText="1"/>
    </xf>
    <xf numFmtId="0" fontId="26" fillId="0" borderId="40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left" vertical="center" wrapText="1"/>
    </xf>
    <xf numFmtId="0" fontId="26" fillId="0" borderId="39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left" vertical="center" wrapText="1"/>
    </xf>
    <xf numFmtId="0" fontId="26" fillId="0" borderId="40" xfId="0" applyFont="1" applyBorder="1" applyAlignment="1">
      <alignment horizontal="left" vertical="center" wrapText="1" indent="2"/>
    </xf>
    <xf numFmtId="0" fontId="27" fillId="0" borderId="0" xfId="0" applyFont="1">
      <alignment wrapText="1"/>
    </xf>
    <xf numFmtId="0" fontId="28" fillId="0" borderId="30" xfId="0" applyFont="1" applyBorder="1" applyAlignment="1">
      <alignment horizontal="center" vertical="top"/>
    </xf>
    <xf numFmtId="0" fontId="28" fillId="0" borderId="41" xfId="0" applyFont="1" applyBorder="1" applyAlignment="1">
      <alignment horizontal="center" vertical="top"/>
    </xf>
    <xf numFmtId="0" fontId="28" fillId="0" borderId="32" xfId="0" applyFont="1" applyBorder="1" applyAlignment="1">
      <alignment horizontal="center" vertical="top"/>
    </xf>
    <xf numFmtId="0" fontId="0" fillId="0" borderId="2" xfId="0" applyBorder="1" applyAlignment="1"/>
    <xf numFmtId="0" fontId="28" fillId="4" borderId="20" xfId="0" applyFont="1" applyFill="1" applyBorder="1" applyAlignment="1">
      <alignment horizontal="center" vertical="top"/>
    </xf>
    <xf numFmtId="0" fontId="29" fillId="0" borderId="0" xfId="0" applyFont="1">
      <alignment wrapText="1"/>
    </xf>
    <xf numFmtId="0" fontId="28" fillId="0" borderId="29" xfId="0" applyFont="1" applyBorder="1" applyAlignment="1">
      <alignment horizontal="center" vertical="top"/>
    </xf>
    <xf numFmtId="0" fontId="0" fillId="0" borderId="13" xfId="0" applyBorder="1" applyAlignment="1"/>
    <xf numFmtId="0" fontId="21" fillId="4" borderId="33" xfId="0" applyFont="1" applyFill="1" applyBorder="1" applyAlignment="1"/>
    <xf numFmtId="0" fontId="28" fillId="4" borderId="42" xfId="0" applyFont="1" applyFill="1" applyBorder="1" applyAlignment="1">
      <alignment horizontal="center" vertical="top"/>
    </xf>
    <xf numFmtId="0" fontId="28" fillId="4" borderId="24" xfId="0" applyFont="1" applyFill="1" applyBorder="1" applyAlignment="1">
      <alignment horizontal="center" vertical="top"/>
    </xf>
    <xf numFmtId="0" fontId="23" fillId="4" borderId="19" xfId="0" applyFont="1" applyFill="1" applyBorder="1" applyAlignment="1">
      <alignment horizontal="center" vertical="top" wrapText="1"/>
    </xf>
    <xf numFmtId="0" fontId="21" fillId="4" borderId="4" xfId="0" applyFont="1" applyFill="1" applyBorder="1" applyAlignment="1">
      <alignment vertical="center" wrapText="1"/>
    </xf>
    <xf numFmtId="0" fontId="0" fillId="4" borderId="5" xfId="0" applyFill="1" applyBorder="1">
      <alignment wrapText="1"/>
    </xf>
    <xf numFmtId="0" fontId="23" fillId="4" borderId="5" xfId="0" applyFont="1" applyFill="1" applyBorder="1" applyAlignment="1">
      <alignment horizontal="center" vertical="top" wrapText="1"/>
    </xf>
    <xf numFmtId="0" fontId="23" fillId="4" borderId="23" xfId="0" applyFont="1" applyFill="1" applyBorder="1" applyAlignment="1">
      <alignment horizontal="center" vertical="top" wrapText="1"/>
    </xf>
    <xf numFmtId="0" fontId="23" fillId="4" borderId="0" xfId="0" applyFont="1" applyFill="1" applyAlignment="1">
      <alignment horizontal="center" vertical="top" wrapText="1"/>
    </xf>
    <xf numFmtId="1" fontId="0" fillId="0" borderId="8" xfId="0" applyNumberFormat="1" applyBorder="1">
      <alignment wrapText="1"/>
    </xf>
    <xf numFmtId="1" fontId="0" fillId="0" borderId="3" xfId="0" applyNumberFormat="1" applyBorder="1">
      <alignment wrapText="1"/>
    </xf>
    <xf numFmtId="1" fontId="0" fillId="0" borderId="15" xfId="0" applyNumberFormat="1" applyBorder="1">
      <alignment wrapText="1"/>
    </xf>
    <xf numFmtId="1" fontId="0" fillId="0" borderId="21" xfId="0" applyNumberFormat="1" applyBorder="1">
      <alignment wrapText="1"/>
    </xf>
    <xf numFmtId="1" fontId="0" fillId="0" borderId="22" xfId="0" applyNumberFormat="1" applyBorder="1">
      <alignment wrapText="1"/>
    </xf>
    <xf numFmtId="1" fontId="0" fillId="0" borderId="20" xfId="0" applyNumberFormat="1" applyBorder="1">
      <alignment wrapText="1"/>
    </xf>
    <xf numFmtId="165" fontId="0" fillId="0" borderId="0" xfId="0" applyNumberFormat="1" applyAlignment="1"/>
    <xf numFmtId="165" fontId="0" fillId="0" borderId="2" xfId="0" applyNumberFormat="1" applyBorder="1" applyAlignment="1"/>
    <xf numFmtId="165" fontId="0" fillId="0" borderId="13" xfId="0" applyNumberFormat="1" applyBorder="1" applyAlignment="1"/>
    <xf numFmtId="1" fontId="0" fillId="0" borderId="0" xfId="0" applyNumberFormat="1" applyAlignment="1"/>
    <xf numFmtId="1" fontId="0" fillId="0" borderId="8" xfId="0" applyNumberFormat="1" applyBorder="1" applyAlignment="1"/>
    <xf numFmtId="1" fontId="0" fillId="0" borderId="2" xfId="0" applyNumberFormat="1" applyBorder="1" applyAlignment="1"/>
    <xf numFmtId="1" fontId="0" fillId="0" borderId="3" xfId="0" applyNumberFormat="1" applyBorder="1" applyAlignment="1"/>
    <xf numFmtId="1" fontId="0" fillId="0" borderId="13" xfId="0" applyNumberFormat="1" applyBorder="1" applyAlignment="1"/>
    <xf numFmtId="1" fontId="0" fillId="0" borderId="15" xfId="0" applyNumberFormat="1" applyBorder="1" applyAlignment="1"/>
    <xf numFmtId="0" fontId="22" fillId="4" borderId="0" xfId="0" applyFont="1" applyFill="1" applyAlignment="1">
      <alignment horizontal="center" vertical="top" wrapText="1"/>
    </xf>
    <xf numFmtId="0" fontId="0" fillId="4" borderId="2" xfId="0" applyFill="1" applyBorder="1">
      <alignment wrapText="1"/>
    </xf>
    <xf numFmtId="1" fontId="0" fillId="13" borderId="0" xfId="0" applyNumberFormat="1" applyFill="1">
      <alignment wrapText="1"/>
    </xf>
    <xf numFmtId="1" fontId="0" fillId="13" borderId="8" xfId="0" applyNumberFormat="1" applyFill="1" applyBorder="1">
      <alignment wrapText="1"/>
    </xf>
    <xf numFmtId="164" fontId="0" fillId="13" borderId="0" xfId="0" applyNumberFormat="1" applyFill="1">
      <alignment wrapText="1"/>
    </xf>
    <xf numFmtId="165" fontId="0" fillId="0" borderId="0" xfId="0" applyNumberFormat="1">
      <alignment wrapText="1"/>
    </xf>
    <xf numFmtId="0" fontId="0" fillId="0" borderId="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>
      <alignment wrapText="1"/>
    </xf>
    <xf numFmtId="0" fontId="10" fillId="0" borderId="15" xfId="0" applyFont="1" applyBorder="1" applyAlignment="1">
      <alignment vertical="center" wrapText="1"/>
    </xf>
    <xf numFmtId="0" fontId="0" fillId="0" borderId="0" xfId="0" applyAlignment="1">
      <alignment horizontal="center" wrapText="1"/>
    </xf>
    <xf numFmtId="0" fontId="30" fillId="0" borderId="0" xfId="0" applyFont="1">
      <alignment wrapText="1"/>
    </xf>
    <xf numFmtId="0" fontId="1" fillId="0" borderId="2" xfId="0" applyFont="1" applyBorder="1">
      <alignment wrapText="1"/>
    </xf>
    <xf numFmtId="44" fontId="0" fillId="0" borderId="0" xfId="2" applyFont="1" applyAlignment="1">
      <alignment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9" fillId="6" borderId="9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  <xf numFmtId="0" fontId="12" fillId="3" borderId="11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 wrapText="1"/>
    </xf>
    <xf numFmtId="0" fontId="5" fillId="3" borderId="10" xfId="0" applyFont="1" applyFill="1" applyBorder="1" applyAlignment="1">
      <alignment horizontal="center" wrapText="1"/>
    </xf>
    <xf numFmtId="0" fontId="5" fillId="3" borderId="11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11" fillId="7" borderId="20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7" fillId="8" borderId="20" xfId="0" applyFont="1" applyFill="1" applyBorder="1" applyAlignment="1">
      <alignment horizontal="center" vertical="center" wrapText="1"/>
    </xf>
    <xf numFmtId="0" fontId="17" fillId="8" borderId="21" xfId="0" applyFont="1" applyFill="1" applyBorder="1" applyAlignment="1">
      <alignment horizontal="center" vertical="center" wrapText="1"/>
    </xf>
    <xf numFmtId="0" fontId="17" fillId="8" borderId="22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wrapText="1"/>
    </xf>
    <xf numFmtId="0" fontId="12" fillId="8" borderId="10" xfId="0" applyFont="1" applyFill="1" applyBorder="1" applyAlignment="1">
      <alignment horizontal="center" wrapText="1"/>
    </xf>
    <xf numFmtId="0" fontId="12" fillId="8" borderId="11" xfId="0" applyFont="1" applyFill="1" applyBorder="1" applyAlignment="1">
      <alignment horizont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31" fillId="0" borderId="0" xfId="0" applyFont="1">
      <alignment wrapText="1"/>
    </xf>
    <xf numFmtId="11" fontId="31" fillId="0" borderId="0" xfId="0" applyNumberFormat="1" applyFont="1">
      <alignment wrapText="1"/>
    </xf>
    <xf numFmtId="0" fontId="0" fillId="0" borderId="0" xfId="0" applyFont="1" applyAlignment="1">
      <alignment horizontal="center" vertical="center" wrapText="1"/>
    </xf>
    <xf numFmtId="11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32" fillId="0" borderId="0" xfId="0" applyFont="1">
      <alignment wrapText="1"/>
    </xf>
    <xf numFmtId="0" fontId="0" fillId="0" borderId="25" xfId="0" applyBorder="1">
      <alignment wrapText="1"/>
    </xf>
    <xf numFmtId="0" fontId="0" fillId="0" borderId="25" xfId="0" applyFont="1" applyBorder="1">
      <alignment wrapText="1"/>
    </xf>
    <xf numFmtId="0" fontId="34" fillId="0" borderId="25" xfId="0" applyFont="1" applyBorder="1">
      <alignment wrapText="1"/>
    </xf>
    <xf numFmtId="176" fontId="0" fillId="0" borderId="0" xfId="0" applyNumberFormat="1">
      <alignment wrapText="1"/>
    </xf>
    <xf numFmtId="0" fontId="1" fillId="0" borderId="0" xfId="0" applyFont="1" applyFill="1" applyBorder="1">
      <alignment wrapText="1"/>
    </xf>
    <xf numFmtId="0" fontId="0" fillId="0" borderId="0" xfId="0" applyAlignment="1">
      <alignment horizontal="left" vertical="center" wrapText="1" indent="14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7" xfId="0" applyFill="1" applyBorder="1">
      <alignment wrapText="1"/>
    </xf>
    <xf numFmtId="0" fontId="0" fillId="0" borderId="0" xfId="0" applyFont="1">
      <alignment wrapText="1"/>
    </xf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 wrapText="1"/>
    </xf>
    <xf numFmtId="0" fontId="10" fillId="0" borderId="8" xfId="0" applyFont="1" applyFill="1" applyBorder="1" applyAlignment="1">
      <alignment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vertical="center" wrapText="1"/>
    </xf>
    <xf numFmtId="0" fontId="10" fillId="0" borderId="15" xfId="0" applyFont="1" applyFill="1" applyBorder="1" applyAlignment="1">
      <alignment vertical="center" wrapText="1"/>
    </xf>
    <xf numFmtId="0" fontId="19" fillId="0" borderId="15" xfId="0" applyFont="1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13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Fill="1">
      <alignment wrapText="1"/>
    </xf>
    <xf numFmtId="0" fontId="0" fillId="0" borderId="0" xfId="0" applyBorder="1" applyAlignment="1">
      <alignment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5" xfId="0" applyFont="1" applyFill="1" applyBorder="1" applyAlignment="1">
      <alignment wrapText="1"/>
    </xf>
    <xf numFmtId="0" fontId="0" fillId="0" borderId="0" xfId="0" applyBorder="1">
      <alignment wrapText="1"/>
    </xf>
    <xf numFmtId="0" fontId="0" fillId="0" borderId="30" xfId="0" applyFont="1" applyBorder="1" applyAlignment="1">
      <alignment horizontal="center" vertical="center" wrapText="1"/>
    </xf>
    <xf numFmtId="0" fontId="0" fillId="0" borderId="46" xfId="0" applyFont="1" applyBorder="1">
      <alignment wrapText="1"/>
    </xf>
    <xf numFmtId="0" fontId="34" fillId="0" borderId="46" xfId="0" applyFont="1" applyBorder="1">
      <alignment wrapText="1"/>
    </xf>
    <xf numFmtId="0" fontId="0" fillId="0" borderId="46" xfId="0" applyFont="1" applyBorder="1" applyAlignment="1">
      <alignment wrapText="1"/>
    </xf>
    <xf numFmtId="0" fontId="0" fillId="0" borderId="46" xfId="0" applyFont="1" applyFill="1" applyBorder="1" applyAlignment="1">
      <alignment wrapText="1"/>
    </xf>
    <xf numFmtId="0" fontId="0" fillId="0" borderId="47" xfId="0" applyBorder="1">
      <alignment wrapText="1"/>
    </xf>
    <xf numFmtId="0" fontId="0" fillId="0" borderId="41" xfId="0" applyBorder="1">
      <alignment wrapText="1"/>
    </xf>
    <xf numFmtId="0" fontId="0" fillId="0" borderId="48" xfId="0" applyBorder="1">
      <alignment wrapText="1"/>
    </xf>
    <xf numFmtId="0" fontId="0" fillId="0" borderId="32" xfId="0" applyBorder="1">
      <alignment wrapText="1"/>
    </xf>
    <xf numFmtId="0" fontId="0" fillId="0" borderId="49" xfId="0" applyFill="1" applyBorder="1">
      <alignment wrapText="1"/>
    </xf>
    <xf numFmtId="177" fontId="0" fillId="0" borderId="29" xfId="0" applyNumberFormat="1" applyBorder="1">
      <alignment wrapText="1"/>
    </xf>
    <xf numFmtId="177" fontId="0" fillId="0" borderId="41" xfId="0" applyNumberFormat="1" applyBorder="1">
      <alignment wrapText="1"/>
    </xf>
    <xf numFmtId="177" fontId="0" fillId="0" borderId="32" xfId="0" applyNumberFormat="1" applyBorder="1">
      <alignment wrapText="1"/>
    </xf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2" fontId="0" fillId="0" borderId="46" xfId="0" applyNumberFormat="1" applyFont="1" applyFill="1" applyBorder="1" applyAlignment="1">
      <alignment horizontal="center" vertical="center" wrapText="1"/>
    </xf>
    <xf numFmtId="2" fontId="0" fillId="0" borderId="25" xfId="0" applyNumberFormat="1" applyFont="1" applyFill="1" applyBorder="1" applyAlignment="1">
      <alignment horizontal="center" vertical="center" wrapText="1"/>
    </xf>
    <xf numFmtId="2" fontId="0" fillId="0" borderId="25" xfId="0" applyNumberFormat="1" applyFont="1" applyBorder="1">
      <alignment wrapText="1"/>
    </xf>
    <xf numFmtId="0" fontId="0" fillId="0" borderId="50" xfId="0" applyFont="1" applyBorder="1" applyAlignment="1">
      <alignment horizontal="center" wrapText="1"/>
    </xf>
    <xf numFmtId="2" fontId="0" fillId="0" borderId="51" xfId="0" applyNumberFormat="1" applyFont="1" applyFill="1" applyBorder="1">
      <alignment wrapText="1"/>
    </xf>
    <xf numFmtId="0" fontId="0" fillId="0" borderId="51" xfId="0" applyFont="1" applyBorder="1">
      <alignment wrapText="1"/>
    </xf>
    <xf numFmtId="2" fontId="0" fillId="0" borderId="51" xfId="0" applyNumberFormat="1" applyFont="1" applyBorder="1">
      <alignment wrapText="1"/>
    </xf>
    <xf numFmtId="2" fontId="4" fillId="0" borderId="51" xfId="0" applyNumberFormat="1" applyFont="1" applyBorder="1">
      <alignment wrapText="1"/>
    </xf>
    <xf numFmtId="0" fontId="33" fillId="0" borderId="25" xfId="0" applyFont="1" applyBorder="1">
      <alignment wrapText="1"/>
    </xf>
    <xf numFmtId="2" fontId="0" fillId="0" borderId="48" xfId="0" applyNumberFormat="1" applyBorder="1">
      <alignment wrapText="1"/>
    </xf>
    <xf numFmtId="0" fontId="0" fillId="0" borderId="52" xfId="0" applyBorder="1">
      <alignment wrapText="1"/>
    </xf>
    <xf numFmtId="0" fontId="0" fillId="0" borderId="49" xfId="0" applyBorder="1">
      <alignment wrapText="1"/>
    </xf>
    <xf numFmtId="0" fontId="5" fillId="2" borderId="12" xfId="0" applyFont="1" applyFill="1" applyBorder="1" applyAlignment="1">
      <alignment horizontal="center" wrapText="1"/>
    </xf>
    <xf numFmtId="2" fontId="0" fillId="0" borderId="28" xfId="0" applyNumberFormat="1" applyFont="1" applyBorder="1">
      <alignment wrapText="1"/>
    </xf>
    <xf numFmtId="2" fontId="0" fillId="0" borderId="26" xfId="0" applyNumberFormat="1" applyFont="1" applyBorder="1">
      <alignment wrapText="1"/>
    </xf>
    <xf numFmtId="2" fontId="0" fillId="0" borderId="53" xfId="0" applyNumberFormat="1" applyFont="1" applyBorder="1">
      <alignment wrapText="1"/>
    </xf>
    <xf numFmtId="0" fontId="0" fillId="0" borderId="26" xfId="0" applyBorder="1">
      <alignment wrapText="1"/>
    </xf>
    <xf numFmtId="0" fontId="0" fillId="0" borderId="54" xfId="0" applyBorder="1">
      <alignment wrapText="1"/>
    </xf>
    <xf numFmtId="0" fontId="5" fillId="2" borderId="6" xfId="0" applyFont="1" applyFill="1" applyBorder="1" applyAlignment="1">
      <alignment horizontal="center" wrapText="1"/>
    </xf>
    <xf numFmtId="0" fontId="0" fillId="0" borderId="55" xfId="0" applyFont="1" applyBorder="1">
      <alignment wrapText="1"/>
    </xf>
    <xf numFmtId="0" fontId="0" fillId="0" borderId="48" xfId="0" applyFont="1" applyBorder="1">
      <alignment wrapText="1"/>
    </xf>
    <xf numFmtId="0" fontId="0" fillId="0" borderId="56" xfId="0" applyFont="1" applyBorder="1">
      <alignment wrapText="1"/>
    </xf>
    <xf numFmtId="0" fontId="4" fillId="0" borderId="0" xfId="0" applyFont="1" applyFill="1">
      <alignment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14" xfId="0" applyFill="1" applyBorder="1">
      <alignment wrapText="1"/>
    </xf>
    <xf numFmtId="0" fontId="0" fillId="0" borderId="13" xfId="0" applyFill="1" applyBorder="1">
      <alignment wrapText="1"/>
    </xf>
    <xf numFmtId="0" fontId="0" fillId="0" borderId="15" xfId="0" applyFill="1" applyBorder="1">
      <alignment wrapText="1"/>
    </xf>
    <xf numFmtId="0" fontId="0" fillId="0" borderId="1" xfId="0" applyFill="1" applyBorder="1">
      <alignment wrapText="1"/>
    </xf>
    <xf numFmtId="0" fontId="0" fillId="0" borderId="2" xfId="0" applyFill="1" applyBorder="1">
      <alignment wrapText="1"/>
    </xf>
    <xf numFmtId="2" fontId="0" fillId="0" borderId="2" xfId="0" applyNumberFormat="1" applyFill="1" applyBorder="1">
      <alignment wrapText="1"/>
    </xf>
    <xf numFmtId="0" fontId="0" fillId="0" borderId="3" xfId="0" applyFill="1" applyBorder="1">
      <alignment wrapText="1"/>
    </xf>
    <xf numFmtId="0" fontId="0" fillId="0" borderId="22" xfId="0" applyFill="1" applyBorder="1">
      <alignment wrapText="1"/>
    </xf>
    <xf numFmtId="1" fontId="0" fillId="0" borderId="2" xfId="0" applyNumberFormat="1" applyFill="1" applyBorder="1">
      <alignment wrapText="1"/>
    </xf>
    <xf numFmtId="0" fontId="0" fillId="13" borderId="0" xfId="0" applyFill="1">
      <alignment wrapText="1"/>
    </xf>
    <xf numFmtId="0" fontId="0" fillId="13" borderId="2" xfId="0" applyFill="1" applyBorder="1">
      <alignment wrapText="1"/>
    </xf>
    <xf numFmtId="0" fontId="0" fillId="2" borderId="9" xfId="0" applyFill="1" applyBorder="1">
      <alignment wrapText="1"/>
    </xf>
    <xf numFmtId="0" fontId="36" fillId="2" borderId="19" xfId="0" applyFont="1" applyFill="1" applyBorder="1" applyAlignment="1">
      <alignment horizontal="center" vertical="center" wrapText="1"/>
    </xf>
    <xf numFmtId="0" fontId="36" fillId="2" borderId="10" xfId="0" applyFont="1" applyFill="1" applyBorder="1">
      <alignment wrapText="1"/>
    </xf>
    <xf numFmtId="0" fontId="36" fillId="2" borderId="11" xfId="0" applyFont="1" applyFill="1" applyBorder="1">
      <alignment wrapText="1"/>
    </xf>
    <xf numFmtId="0" fontId="36" fillId="2" borderId="19" xfId="0" applyFont="1" applyFill="1" applyBorder="1">
      <alignment wrapText="1"/>
    </xf>
    <xf numFmtId="0" fontId="0" fillId="0" borderId="8" xfId="0" applyFill="1" applyBorder="1">
      <alignment wrapText="1"/>
    </xf>
    <xf numFmtId="0" fontId="1" fillId="7" borderId="1" xfId="0" applyFont="1" applyFill="1" applyBorder="1">
      <alignment wrapText="1"/>
    </xf>
    <xf numFmtId="0" fontId="0" fillId="14" borderId="14" xfId="0" applyFill="1" applyBorder="1">
      <alignment wrapText="1"/>
    </xf>
    <xf numFmtId="0" fontId="0" fillId="14" borderId="7" xfId="0" applyFill="1" applyBorder="1">
      <alignment wrapText="1"/>
    </xf>
    <xf numFmtId="0" fontId="0" fillId="0" borderId="21" xfId="0" applyFill="1" applyBorder="1">
      <alignment wrapText="1"/>
    </xf>
    <xf numFmtId="0" fontId="0" fillId="0" borderId="0" xfId="0" applyFill="1" applyBorder="1">
      <alignment wrapText="1"/>
    </xf>
    <xf numFmtId="164" fontId="0" fillId="7" borderId="15" xfId="0" applyNumberFormat="1" applyFill="1" applyBorder="1">
      <alignment wrapText="1"/>
    </xf>
    <xf numFmtId="0" fontId="5" fillId="2" borderId="9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12" fillId="4" borderId="20" xfId="0" applyFont="1" applyFill="1" applyBorder="1" applyAlignment="1">
      <alignment horizontal="center" vertical="center" wrapText="1"/>
    </xf>
    <xf numFmtId="164" fontId="0" fillId="0" borderId="20" xfId="0" applyNumberFormat="1" applyBorder="1">
      <alignment wrapText="1"/>
    </xf>
    <xf numFmtId="44" fontId="0" fillId="0" borderId="1" xfId="2" applyFont="1" applyBorder="1" applyAlignment="1">
      <alignment wrapText="1"/>
    </xf>
    <xf numFmtId="0" fontId="0" fillId="7" borderId="43" xfId="0" applyFill="1" applyBorder="1">
      <alignment wrapText="1"/>
    </xf>
    <xf numFmtId="3" fontId="0" fillId="0" borderId="13" xfId="0" applyNumberFormat="1" applyBorder="1">
      <alignment wrapText="1"/>
    </xf>
    <xf numFmtId="3" fontId="0" fillId="0" borderId="0" xfId="0" applyNumberFormat="1" applyBorder="1">
      <alignment wrapText="1"/>
    </xf>
    <xf numFmtId="0" fontId="0" fillId="7" borderId="57" xfId="0" applyFill="1" applyBorder="1">
      <alignment wrapText="1"/>
    </xf>
    <xf numFmtId="0" fontId="5" fillId="2" borderId="19" xfId="0" applyFont="1" applyFill="1" applyBorder="1">
      <alignment wrapText="1"/>
    </xf>
    <xf numFmtId="0" fontId="5" fillId="2" borderId="10" xfId="0" applyFont="1" applyFill="1" applyBorder="1">
      <alignment wrapText="1"/>
    </xf>
    <xf numFmtId="0" fontId="36" fillId="2" borderId="14" xfId="0" applyFont="1" applyFill="1" applyBorder="1">
      <alignment wrapText="1"/>
    </xf>
    <xf numFmtId="0" fontId="36" fillId="2" borderId="13" xfId="0" applyFont="1" applyFill="1" applyBorder="1">
      <alignment wrapText="1"/>
    </xf>
    <xf numFmtId="0" fontId="36" fillId="2" borderId="15" xfId="0" applyFont="1" applyFill="1" applyBorder="1">
      <alignment wrapText="1"/>
    </xf>
    <xf numFmtId="0" fontId="35" fillId="2" borderId="9" xfId="0" applyFont="1" applyFill="1" applyBorder="1">
      <alignment wrapText="1"/>
    </xf>
    <xf numFmtId="0" fontId="36" fillId="2" borderId="10" xfId="0" applyFont="1" applyFill="1" applyBorder="1" applyAlignment="1">
      <alignment horizontal="center" wrapText="1"/>
    </xf>
    <xf numFmtId="0" fontId="36" fillId="2" borderId="11" xfId="0" applyFont="1" applyFill="1" applyBorder="1" applyAlignment="1">
      <alignment horizontal="center" wrapText="1"/>
    </xf>
    <xf numFmtId="2" fontId="0" fillId="0" borderId="0" xfId="0" applyNumberFormat="1" applyBorder="1">
      <alignment wrapText="1"/>
    </xf>
    <xf numFmtId="4" fontId="0" fillId="0" borderId="0" xfId="0" applyNumberFormat="1" applyBorder="1">
      <alignment wrapText="1"/>
    </xf>
    <xf numFmtId="0" fontId="26" fillId="0" borderId="58" xfId="0" applyFont="1" applyBorder="1" applyAlignment="1">
      <alignment horizontal="left" vertical="center" wrapText="1"/>
    </xf>
    <xf numFmtId="10" fontId="0" fillId="0" borderId="20" xfId="0" applyNumberFormat="1" applyBorder="1" applyAlignment="1">
      <alignment horizontal="center" vertical="center" wrapText="1"/>
    </xf>
    <xf numFmtId="10" fontId="0" fillId="0" borderId="21" xfId="0" applyNumberFormat="1" applyBorder="1" applyAlignment="1">
      <alignment horizontal="center" vertical="center" wrapText="1"/>
    </xf>
    <xf numFmtId="10" fontId="0" fillId="0" borderId="22" xfId="0" applyNumberFormat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top"/>
    </xf>
    <xf numFmtId="0" fontId="20" fillId="2" borderId="44" xfId="0" applyFont="1" applyFill="1" applyBorder="1" applyAlignment="1">
      <alignment horizontal="center" vertical="top"/>
    </xf>
    <xf numFmtId="0" fontId="20" fillId="0" borderId="44" xfId="0" applyFont="1" applyBorder="1" applyAlignment="1">
      <alignment horizontal="center" vertical="top"/>
    </xf>
    <xf numFmtId="0" fontId="20" fillId="0" borderId="47" xfId="0" applyFont="1" applyBorder="1" applyAlignment="1">
      <alignment horizontal="center" vertical="top"/>
    </xf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3" xfId="0" applyBorder="1" applyAlignment="1"/>
  </cellXfs>
  <cellStyles count="3">
    <cellStyle name="Currency" xfId="2" builtinId="4"/>
    <cellStyle name="Hyperlink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 tank cost'!$D$41</c:f>
              <c:strCache>
                <c:ptCount val="1"/>
                <c:pt idx="0">
                  <c:v>total cost ($1k)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 tank cost'!$C$42:$C$45</c:f>
              <c:numCache>
                <c:formatCode>General</c:formatCode>
                <c:ptCount val="4"/>
                <c:pt idx="0">
                  <c:v>200</c:v>
                </c:pt>
                <c:pt idx="1">
                  <c:v>1000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'Calculation tank cost'!$D$42:$D$45</c:f>
              <c:numCache>
                <c:formatCode>General</c:formatCode>
                <c:ptCount val="4"/>
                <c:pt idx="0">
                  <c:v>2423</c:v>
                </c:pt>
                <c:pt idx="1">
                  <c:v>11777</c:v>
                </c:pt>
                <c:pt idx="2">
                  <c:v>34983</c:v>
                </c:pt>
                <c:pt idx="3">
                  <c:v>46559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9-F045-B4DB-91EF2C11B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93152"/>
        <c:axId val="525008496"/>
      </c:scatterChart>
      <c:valAx>
        <c:axId val="5249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08496"/>
        <c:crosses val="autoZero"/>
        <c:crossBetween val="midCat"/>
      </c:valAx>
      <c:valAx>
        <c:axId val="5250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 Pump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'Calculation salt pumps'!$L$3:$L$23</c:f>
              <c:numCache>
                <c:formatCode>General</c:formatCode>
                <c:ptCount val="21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520</c:v>
                </c:pt>
                <c:pt idx="12">
                  <c:v>540</c:v>
                </c:pt>
                <c:pt idx="13">
                  <c:v>560</c:v>
                </c:pt>
                <c:pt idx="14">
                  <c:v>580</c:v>
                </c:pt>
                <c:pt idx="15">
                  <c:v>600</c:v>
                </c:pt>
                <c:pt idx="16">
                  <c:v>620</c:v>
                </c:pt>
                <c:pt idx="17">
                  <c:v>640</c:v>
                </c:pt>
                <c:pt idx="18">
                  <c:v>660</c:v>
                </c:pt>
                <c:pt idx="19">
                  <c:v>680</c:v>
                </c:pt>
                <c:pt idx="20">
                  <c:v>700</c:v>
                </c:pt>
              </c:numCache>
            </c:numRef>
          </c:xVal>
          <c:yVal>
            <c:numRef>
              <c:f>'Calculation salt pumps'!$J$3:$J$23</c:f>
              <c:numCache>
                <c:formatCode>General</c:formatCode>
                <c:ptCount val="21"/>
                <c:pt idx="0">
                  <c:v>577300.04602616897</c:v>
                </c:pt>
                <c:pt idx="1">
                  <c:v>608497.8053596213</c:v>
                </c:pt>
                <c:pt idx="2">
                  <c:v>639337.628451242</c:v>
                </c:pt>
                <c:pt idx="3">
                  <c:v>669844.34959523263</c:v>
                </c:pt>
                <c:pt idx="4">
                  <c:v>700039.79981442902</c:v>
                </c:pt>
                <c:pt idx="5">
                  <c:v>729943.30874831427</c:v>
                </c:pt>
                <c:pt idx="6">
                  <c:v>759572.1017867683</c:v>
                </c:pt>
                <c:pt idx="7">
                  <c:v>788941.61826076161</c:v>
                </c:pt>
                <c:pt idx="8">
                  <c:v>818065.76925663231</c:v>
                </c:pt>
                <c:pt idx="9">
                  <c:v>846957.1486362617</c:v>
                </c:pt>
                <c:pt idx="10">
                  <c:v>875627.20735129493</c:v>
                </c:pt>
                <c:pt idx="11">
                  <c:v>904086.39864817448</c:v>
                </c:pt>
                <c:pt idx="12">
                  <c:v>932344.29995683942</c:v>
                </c:pt>
                <c:pt idx="13">
                  <c:v>960409.71593134478</c:v>
                </c:pt>
                <c:pt idx="14">
                  <c:v>988290.76612543804</c:v>
                </c:pt>
                <c:pt idx="15">
                  <c:v>1015994.9600446256</c:v>
                </c:pt>
                <c:pt idx="16">
                  <c:v>1043529.261752062</c:v>
                </c:pt>
                <c:pt idx="17">
                  <c:v>1070900.1457719724</c:v>
                </c:pt>
                <c:pt idx="18">
                  <c:v>1098113.6456978801</c:v>
                </c:pt>
                <c:pt idx="19">
                  <c:v>1125175.3966496321</c:v>
                </c:pt>
                <c:pt idx="20">
                  <c:v>1152090.6725154712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6-524B-B30A-98BE8C088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015056"/>
        <c:axId val="473350768"/>
      </c:scatterChart>
      <c:valAx>
        <c:axId val="191701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pump power (kW_e)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50768"/>
        <c:crosses val="autoZero"/>
        <c:crossBetween val="midCat"/>
      </c:valAx>
      <c:valAx>
        <c:axId val="4733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 salt pumps'!$P$2</c:f>
              <c:strCache>
                <c:ptCount val="1"/>
                <c:pt idx="0">
                  <c:v>hot pump ($/MW_e)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'Calculation salt pumps'!$L$3:$L$23</c:f>
              <c:numCache>
                <c:formatCode>General</c:formatCode>
                <c:ptCount val="21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520</c:v>
                </c:pt>
                <c:pt idx="12">
                  <c:v>540</c:v>
                </c:pt>
                <c:pt idx="13">
                  <c:v>560</c:v>
                </c:pt>
                <c:pt idx="14">
                  <c:v>580</c:v>
                </c:pt>
                <c:pt idx="15">
                  <c:v>600</c:v>
                </c:pt>
                <c:pt idx="16">
                  <c:v>620</c:v>
                </c:pt>
                <c:pt idx="17">
                  <c:v>640</c:v>
                </c:pt>
                <c:pt idx="18">
                  <c:v>660</c:v>
                </c:pt>
                <c:pt idx="19">
                  <c:v>680</c:v>
                </c:pt>
                <c:pt idx="20">
                  <c:v>700</c:v>
                </c:pt>
              </c:numCache>
            </c:numRef>
          </c:xVal>
          <c:yVal>
            <c:numRef>
              <c:f>'Calculation salt pumps'!$P$3:$P$23</c:f>
              <c:numCache>
                <c:formatCode>General</c:formatCode>
                <c:ptCount val="21"/>
                <c:pt idx="0">
                  <c:v>1374.7891845555546</c:v>
                </c:pt>
                <c:pt idx="1">
                  <c:v>1358.5161553867433</c:v>
                </c:pt>
                <c:pt idx="2">
                  <c:v>1343.4054882232442</c:v>
                </c:pt>
                <c:pt idx="3">
                  <c:v>1329.3127399667537</c:v>
                </c:pt>
                <c:pt idx="4">
                  <c:v>1316.1182302559071</c:v>
                </c:pt>
                <c:pt idx="5">
                  <c:v>1303.7217471835986</c:v>
                </c:pt>
                <c:pt idx="6">
                  <c:v>1292.0385874786061</c:v>
                </c:pt>
                <c:pt idx="7">
                  <c:v>1280.9965484586385</c:v>
                </c:pt>
                <c:pt idx="8">
                  <c:v>1270.5336109209886</c:v>
                </c:pt>
                <c:pt idx="9">
                  <c:v>1260.5961316630078</c:v>
                </c:pt>
                <c:pt idx="10">
                  <c:v>1251.1374173504666</c:v>
                </c:pt>
                <c:pt idx="11">
                  <c:v>1242.1165875003539</c:v>
                </c:pt>
                <c:pt idx="12">
                  <c:v>1233.4976592865</c:v>
                </c:pt>
                <c:pt idx="13">
                  <c:v>1225.2488044127244</c:v>
                </c:pt>
                <c:pt idx="14">
                  <c:v>1217.3417408102466</c:v>
                </c:pt>
                <c:pt idx="15">
                  <c:v>1209.7512309647279</c:v>
                </c:pt>
                <c:pt idx="16">
                  <c:v>1202.4546653042153</c:v>
                </c:pt>
                <c:pt idx="17">
                  <c:v>1195.4317139873967</c:v>
                </c:pt>
                <c:pt idx="18">
                  <c:v>1188.6640341063273</c:v>
                </c:pt>
                <c:pt idx="19">
                  <c:v>1182.1350220966688</c:v>
                </c:pt>
                <c:pt idx="20">
                  <c:v>1175.8296032694791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F-154A-82F8-57BC3426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491120"/>
        <c:axId val="1053797280"/>
      </c:scatterChart>
      <c:valAx>
        <c:axId val="10534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97280"/>
        <c:crosses val="autoZero"/>
        <c:crossBetween val="midCat"/>
      </c:valAx>
      <c:valAx>
        <c:axId val="10537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9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 salt pumps'!$Q$2</c:f>
              <c:strCache>
                <c:ptCount val="1"/>
                <c:pt idx="0">
                  <c:v>cold pump ($/MW_e)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'Calculation salt pumps'!$M$3:$M$23</c:f>
              <c:numCache>
                <c:formatCode>General</c:formatCode>
                <c:ptCount val="21"/>
                <c:pt idx="0">
                  <c:v>150</c:v>
                </c:pt>
                <c:pt idx="1">
                  <c:v>170</c:v>
                </c:pt>
                <c:pt idx="2">
                  <c:v>190</c:v>
                </c:pt>
                <c:pt idx="3">
                  <c:v>210</c:v>
                </c:pt>
                <c:pt idx="4">
                  <c:v>230</c:v>
                </c:pt>
                <c:pt idx="5">
                  <c:v>250</c:v>
                </c:pt>
                <c:pt idx="6">
                  <c:v>270</c:v>
                </c:pt>
                <c:pt idx="7">
                  <c:v>290</c:v>
                </c:pt>
                <c:pt idx="8">
                  <c:v>310</c:v>
                </c:pt>
                <c:pt idx="9">
                  <c:v>330</c:v>
                </c:pt>
                <c:pt idx="10">
                  <c:v>350</c:v>
                </c:pt>
                <c:pt idx="11">
                  <c:v>370</c:v>
                </c:pt>
                <c:pt idx="12">
                  <c:v>390</c:v>
                </c:pt>
                <c:pt idx="13">
                  <c:v>410</c:v>
                </c:pt>
                <c:pt idx="14">
                  <c:v>430</c:v>
                </c:pt>
                <c:pt idx="15">
                  <c:v>450</c:v>
                </c:pt>
                <c:pt idx="16">
                  <c:v>470</c:v>
                </c:pt>
                <c:pt idx="17">
                  <c:v>490</c:v>
                </c:pt>
                <c:pt idx="18">
                  <c:v>510</c:v>
                </c:pt>
                <c:pt idx="19">
                  <c:v>530</c:v>
                </c:pt>
                <c:pt idx="20">
                  <c:v>550</c:v>
                </c:pt>
              </c:numCache>
            </c:numRef>
          </c:xVal>
          <c:yVal>
            <c:numRef>
              <c:f>'Calculation salt pumps'!$Q$3:$Q$23</c:f>
              <c:numCache>
                <c:formatCode>General</c:formatCode>
                <c:ptCount val="21"/>
                <c:pt idx="0">
                  <c:v>3437.7904237788484</c:v>
                </c:pt>
                <c:pt idx="1">
                  <c:v>3250.0023771872065</c:v>
                </c:pt>
                <c:pt idx="2">
                  <c:v>3091.7512030190137</c:v>
                </c:pt>
                <c:pt idx="3">
                  <c:v>2955.9503498441409</c:v>
                </c:pt>
                <c:pt idx="4">
                  <c:v>2837.6949136597905</c:v>
                </c:pt>
                <c:pt idx="5">
                  <c:v>2733.466014721289</c:v>
                </c:pt>
                <c:pt idx="6">
                  <c:v>2640.663710710458</c:v>
                </c:pt>
                <c:pt idx="7">
                  <c:v>2557.3191636618722</c:v>
                </c:pt>
                <c:pt idx="8">
                  <c:v>2481.9099855500717</c:v>
                </c:pt>
                <c:pt idx="9">
                  <c:v>2413.2376834387969</c:v>
                </c:pt>
                <c:pt idx="10">
                  <c:v>2350.3439205060304</c:v>
                </c:pt>
                <c:pt idx="11">
                  <c:v>2292.4518402454451</c:v>
                </c:pt>
                <c:pt idx="12">
                  <c:v>2238.9240369364275</c:v>
                </c:pt>
                <c:pt idx="13">
                  <c:v>2189.2318591592002</c:v>
                </c:pt>
                <c:pt idx="14">
                  <c:v>2142.9325998124932</c:v>
                </c:pt>
                <c:pt idx="15">
                  <c:v>2099.6522823519249</c:v>
                </c:pt>
                <c:pt idx="16">
                  <c:v>2059.0724881710316</c:v>
                </c:pt>
                <c:pt idx="17">
                  <c:v>2020.9201485985579</c:v>
                </c:pt>
                <c:pt idx="18">
                  <c:v>1984.9595431153245</c:v>
                </c:pt>
                <c:pt idx="19">
                  <c:v>1950.9859609527398</c:v>
                </c:pt>
                <c:pt idx="20">
                  <c:v>1918.8206318504285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6-B940-A582-B348FD1D9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597952"/>
        <c:axId val="1053598352"/>
      </c:scatterChart>
      <c:valAx>
        <c:axId val="10535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98352"/>
        <c:crosses val="autoZero"/>
        <c:crossBetween val="midCat"/>
      </c:valAx>
      <c:valAx>
        <c:axId val="10535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pump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 salt pumps'!$M$3:$M$50</c:f>
              <c:numCache>
                <c:formatCode>General</c:formatCode>
                <c:ptCount val="48"/>
                <c:pt idx="0">
                  <c:v>150</c:v>
                </c:pt>
                <c:pt idx="1">
                  <c:v>170</c:v>
                </c:pt>
                <c:pt idx="2">
                  <c:v>190</c:v>
                </c:pt>
                <c:pt idx="3">
                  <c:v>210</c:v>
                </c:pt>
                <c:pt idx="4">
                  <c:v>230</c:v>
                </c:pt>
                <c:pt idx="5">
                  <c:v>250</c:v>
                </c:pt>
                <c:pt idx="6">
                  <c:v>270</c:v>
                </c:pt>
                <c:pt idx="7">
                  <c:v>290</c:v>
                </c:pt>
                <c:pt idx="8">
                  <c:v>310</c:v>
                </c:pt>
                <c:pt idx="9">
                  <c:v>330</c:v>
                </c:pt>
                <c:pt idx="10">
                  <c:v>350</c:v>
                </c:pt>
                <c:pt idx="11">
                  <c:v>370</c:v>
                </c:pt>
                <c:pt idx="12">
                  <c:v>390</c:v>
                </c:pt>
                <c:pt idx="13">
                  <c:v>410</c:v>
                </c:pt>
                <c:pt idx="14">
                  <c:v>430</c:v>
                </c:pt>
                <c:pt idx="15">
                  <c:v>450</c:v>
                </c:pt>
                <c:pt idx="16">
                  <c:v>470</c:v>
                </c:pt>
                <c:pt idx="17">
                  <c:v>490</c:v>
                </c:pt>
                <c:pt idx="18">
                  <c:v>510</c:v>
                </c:pt>
                <c:pt idx="19">
                  <c:v>530</c:v>
                </c:pt>
                <c:pt idx="20">
                  <c:v>550</c:v>
                </c:pt>
                <c:pt idx="21">
                  <c:v>570</c:v>
                </c:pt>
                <c:pt idx="22">
                  <c:v>590</c:v>
                </c:pt>
                <c:pt idx="23">
                  <c:v>610</c:v>
                </c:pt>
                <c:pt idx="24">
                  <c:v>630</c:v>
                </c:pt>
                <c:pt idx="25">
                  <c:v>650</c:v>
                </c:pt>
                <c:pt idx="26">
                  <c:v>670</c:v>
                </c:pt>
                <c:pt idx="27">
                  <c:v>690</c:v>
                </c:pt>
                <c:pt idx="28">
                  <c:v>710</c:v>
                </c:pt>
                <c:pt idx="29">
                  <c:v>730</c:v>
                </c:pt>
                <c:pt idx="30">
                  <c:v>750</c:v>
                </c:pt>
                <c:pt idx="31">
                  <c:v>770</c:v>
                </c:pt>
                <c:pt idx="32">
                  <c:v>790</c:v>
                </c:pt>
                <c:pt idx="33">
                  <c:v>810</c:v>
                </c:pt>
                <c:pt idx="34">
                  <c:v>830</c:v>
                </c:pt>
                <c:pt idx="35">
                  <c:v>850</c:v>
                </c:pt>
                <c:pt idx="36">
                  <c:v>870</c:v>
                </c:pt>
                <c:pt idx="37">
                  <c:v>890</c:v>
                </c:pt>
                <c:pt idx="38">
                  <c:v>910</c:v>
                </c:pt>
                <c:pt idx="39">
                  <c:v>930</c:v>
                </c:pt>
                <c:pt idx="40">
                  <c:v>950</c:v>
                </c:pt>
                <c:pt idx="41">
                  <c:v>970</c:v>
                </c:pt>
                <c:pt idx="42">
                  <c:v>990</c:v>
                </c:pt>
                <c:pt idx="43">
                  <c:v>1010</c:v>
                </c:pt>
                <c:pt idx="44">
                  <c:v>1030</c:v>
                </c:pt>
                <c:pt idx="45">
                  <c:v>1050</c:v>
                </c:pt>
                <c:pt idx="46">
                  <c:v>1070</c:v>
                </c:pt>
                <c:pt idx="47">
                  <c:v>1090</c:v>
                </c:pt>
              </c:numCache>
            </c:numRef>
          </c:xVal>
          <c:yVal>
            <c:numRef>
              <c:f>'Calculation salt pumps'!$K$3:$K$50</c:f>
              <c:numCache>
                <c:formatCode>General</c:formatCode>
                <c:ptCount val="48"/>
                <c:pt idx="0">
                  <c:v>233007.18439568716</c:v>
                </c:pt>
                <c:pt idx="1">
                  <c:v>249649.81896791997</c:v>
                </c:pt>
                <c:pt idx="2">
                  <c:v>265434.1485547531</c:v>
                </c:pt>
                <c:pt idx="3">
                  <c:v>280488.51636015612</c:v>
                </c:pt>
                <c:pt idx="4">
                  <c:v>294911.82943059667</c:v>
                </c:pt>
                <c:pt idx="5">
                  <c:v>308782.26089933398</c:v>
                </c:pt>
                <c:pt idx="6">
                  <c:v>322162.89318937459</c:v>
                </c:pt>
                <c:pt idx="7">
                  <c:v>335105.5236008038</c:v>
                </c:pt>
                <c:pt idx="8">
                  <c:v>347653.31559774588</c:v>
                </c:pt>
                <c:pt idx="9">
                  <c:v>359842.69745292596</c:v>
                </c:pt>
                <c:pt idx="10">
                  <c:v>371704.75435173739</c:v>
                </c:pt>
                <c:pt idx="11">
                  <c:v>383266.27017270058</c:v>
                </c:pt>
                <c:pt idx="12">
                  <c:v>394550.52117669454</c:v>
                </c:pt>
                <c:pt idx="13">
                  <c:v>405577.89031214593</c:v>
                </c:pt>
                <c:pt idx="14">
                  <c:v>416366.34940604068</c:v>
                </c:pt>
                <c:pt idx="15">
                  <c:v>426931.8424446276</c:v>
                </c:pt>
                <c:pt idx="16">
                  <c:v>437288.59370422637</c:v>
                </c:pt>
                <c:pt idx="17">
                  <c:v>447449.35802101763</c:v>
                </c:pt>
                <c:pt idx="18">
                  <c:v>457425.62597101904</c:v>
                </c:pt>
                <c:pt idx="19">
                  <c:v>467227.79352448497</c:v>
                </c:pt>
                <c:pt idx="20">
                  <c:v>476865.30342746858</c:v>
                </c:pt>
                <c:pt idx="21">
                  <c:v>486346.76387385785</c:v>
                </c:pt>
                <c:pt idx="22">
                  <c:v>495680.04878055374</c:v>
                </c:pt>
                <c:pt idx="23">
                  <c:v>504872.38304164552</c:v>
                </c:pt>
                <c:pt idx="24">
                  <c:v>513930.41542807472</c:v>
                </c:pt>
                <c:pt idx="25">
                  <c:v>522860.28125665535</c:v>
                </c:pt>
                <c:pt idx="26">
                  <c:v>531667.65653336782</c:v>
                </c:pt>
                <c:pt idx="27">
                  <c:v>540357.80494951492</c:v>
                </c:pt>
                <c:pt idx="28">
                  <c:v>548935.61885308404</c:v>
                </c:pt>
                <c:pt idx="29">
                  <c:v>557405.65511488752</c:v>
                </c:pt>
                <c:pt idx="30">
                  <c:v>565772.1666474524</c:v>
                </c:pt>
                <c:pt idx="31">
                  <c:v>574039.13020495709</c:v>
                </c:pt>
                <c:pt idx="32">
                  <c:v>582210.27098781941</c:v>
                </c:pt>
                <c:pt idx="33">
                  <c:v>590289.08449046675</c:v>
                </c:pt>
                <c:pt idx="34">
                  <c:v>598278.85596134735</c:v>
                </c:pt>
                <c:pt idx="35">
                  <c:v>606182.6777871605</c:v>
                </c:pt>
                <c:pt idx="36">
                  <c:v>614003.46506616508</c:v>
                </c:pt>
                <c:pt idx="37">
                  <c:v>621743.9695963423</c:v>
                </c:pt>
                <c:pt idx="38">
                  <c:v>629406.792471622</c:v>
                </c:pt>
                <c:pt idx="39">
                  <c:v>636994.39545211103</c:v>
                </c:pt>
                <c:pt idx="40">
                  <c:v>644509.11125135259</c:v>
                </c:pt>
                <c:pt idx="41">
                  <c:v>651953.15286431357</c:v>
                </c:pt>
                <c:pt idx="42">
                  <c:v>659328.62204340659</c:v>
                </c:pt>
                <c:pt idx="43">
                  <c:v>666637.51701594726</c:v>
                </c:pt>
                <c:pt idx="44">
                  <c:v>673881.7395245533</c:v>
                </c:pt>
                <c:pt idx="45">
                  <c:v>681063.10126183496</c:v>
                </c:pt>
                <c:pt idx="46">
                  <c:v>688183.32976199174</c:v>
                </c:pt>
                <c:pt idx="47">
                  <c:v>695244.07380441565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5-864E-A341-29A31E2F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892656"/>
        <c:axId val="1874685344"/>
      </c:scatterChart>
      <c:valAx>
        <c:axId val="187389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rating of pump (kW_e)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85344"/>
        <c:crosses val="autoZero"/>
        <c:crossBetween val="midCat"/>
      </c:valAx>
      <c:valAx>
        <c:axId val="18746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9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780914</xdr:colOff>
      <xdr:row>36</xdr:row>
      <xdr:rowOff>6486</xdr:rowOff>
    </xdr:from>
    <xdr:to>
      <xdr:col>7</xdr:col>
      <xdr:colOff>729573</xdr:colOff>
      <xdr:row>49</xdr:row>
      <xdr:rowOff>47559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76654E-3A59-F436-4A46-E4FE5784A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584200</xdr:colOff>
      <xdr:row>0</xdr:row>
      <xdr:rowOff>38100</xdr:rowOff>
    </xdr:from>
    <xdr:to>
      <xdr:col>14</xdr:col>
      <xdr:colOff>2159000</xdr:colOff>
      <xdr:row>6</xdr:row>
      <xdr:rowOff>673100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066E5B-A838-028F-0F4D-ABDC16E5E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92100" y="38100"/>
          <a:ext cx="6781800" cy="5702300"/>
        </a:xfrm>
        <a:prstGeom prst="rect">
          <a:avLst/>
        </a:prstGeom>
      </xdr:spPr>
    </xdr:pic>
    <xdr:clientData/>
  </xdr:twoCellAnchor>
  <xdr:twoCellAnchor editAs="oneCell">
    <xdr:from>
      <xdr:col>23</xdr:col>
      <xdr:colOff>381000</xdr:colOff>
      <xdr:row>1</xdr:row>
      <xdr:rowOff>292100</xdr:rowOff>
    </xdr:from>
    <xdr:to>
      <xdr:col>32</xdr:col>
      <xdr:colOff>723900</xdr:colOff>
      <xdr:row>6</xdr:row>
      <xdr:rowOff>38285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A72624-8CF4-54DD-BA7A-D5BF440D0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49400" y="520700"/>
          <a:ext cx="7772400" cy="4292785"/>
        </a:xfrm>
        <a:prstGeom prst="rect">
          <a:avLst/>
        </a:prstGeom>
      </xdr:spPr>
    </xdr:pic>
    <xdr:clientData/>
  </xdr:twoCellAnchor>
  <xdr:twoCellAnchor editAs="oneCell">
    <xdr:from>
      <xdr:col>8</xdr:col>
      <xdr:colOff>618066</xdr:colOff>
      <xdr:row>9</xdr:row>
      <xdr:rowOff>372532</xdr:rowOff>
    </xdr:from>
    <xdr:to>
      <xdr:col>15</xdr:col>
      <xdr:colOff>536719</xdr:colOff>
      <xdr:row>11</xdr:row>
      <xdr:rowOff>215899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1F80AC-8A8E-9B40-B885-F3707CEF0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51366" y="8538632"/>
          <a:ext cx="7373553" cy="19769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781050</xdr:colOff>
      <xdr:row>1</xdr:row>
      <xdr:rowOff>234950</xdr:rowOff>
    </xdr:from>
    <xdr:to>
      <xdr:col>25</xdr:col>
      <xdr:colOff>463550</xdr:colOff>
      <xdr:row>5</xdr:row>
      <xdr:rowOff>400050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3DECD-EF6B-3650-7022-18F178724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539750</xdr:colOff>
      <xdr:row>1</xdr:row>
      <xdr:rowOff>393700</xdr:rowOff>
    </xdr:from>
    <xdr:to>
      <xdr:col>32</xdr:col>
      <xdr:colOff>158750</xdr:colOff>
      <xdr:row>5</xdr:row>
      <xdr:rowOff>558800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57022-844D-857C-9596-E7B4E14B3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565150</xdr:colOff>
      <xdr:row>7</xdr:row>
      <xdr:rowOff>139700</xdr:rowOff>
    </xdr:from>
    <xdr:to>
      <xdr:col>32</xdr:col>
      <xdr:colOff>184150</xdr:colOff>
      <xdr:row>17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ED5A15-B572-8585-4DCF-D1DA57D4F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507292</xdr:colOff>
      <xdr:row>6</xdr:row>
      <xdr:rowOff>197083</xdr:rowOff>
    </xdr:from>
    <xdr:to>
      <xdr:col>26</xdr:col>
      <xdr:colOff>84667</xdr:colOff>
      <xdr:row>21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434949-D6DA-8E39-0D05-2FB2A2A84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loecknermetals.com/blog/what-is-the-density-of-stainless-steel/" TargetMode="External"/><Relationship Id="rId13" Type="http://schemas.openxmlformats.org/officeDocument/2006/relationships/hyperlink" Target="https://www.sciencedirect.com/science/article/pii/S0360544222009604" TargetMode="External"/><Relationship Id="rId18" Type="http://schemas.openxmlformats.org/officeDocument/2006/relationships/hyperlink" Target="https://cea.nic.in/?lang=en&amp;s=first+technology+catalogue" TargetMode="External"/><Relationship Id="rId3" Type="http://schemas.openxmlformats.org/officeDocument/2006/relationships/hyperlink" Target="https://www.inflationtool.com/us-dollar/2011-to-present-value" TargetMode="External"/><Relationship Id="rId7" Type="http://schemas.openxmlformats.org/officeDocument/2006/relationships/hyperlink" Target="https://www.industrialmetalsupply.com/blog/carbon-steel-vs-stainless-steel" TargetMode="External"/><Relationship Id="rId12" Type="http://schemas.openxmlformats.org/officeDocument/2006/relationships/hyperlink" Target="https://link.springer.com/content/pdf/10.1007/s11081-019-09449-y.pdf" TargetMode="External"/><Relationship Id="rId17" Type="http://schemas.openxmlformats.org/officeDocument/2006/relationships/hyperlink" Target="https://www.mhi.co.jp/technology/review/pdf/e444/e444015.pdf" TargetMode="External"/><Relationship Id="rId2" Type="http://schemas.openxmlformats.org/officeDocument/2006/relationships/hyperlink" Target="https://www.nrel.gov/docs/fy12osti/53066.pdf" TargetMode="External"/><Relationship Id="rId16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docs/fy12osti/55433.pdf" TargetMode="External"/><Relationship Id="rId6" Type="http://schemas.openxmlformats.org/officeDocument/2006/relationships/hyperlink" Target="https://www.davidpublisher.com/Public/uploads/Contribute/5c6f6c1253ec6.pdf" TargetMode="External"/><Relationship Id="rId11" Type="http://schemas.openxmlformats.org/officeDocument/2006/relationships/hyperlink" Target="https://tradingeconomics.com/india/inflation-cpi" TargetMode="External"/><Relationship Id="rId5" Type="http://schemas.openxmlformats.org/officeDocument/2006/relationships/hyperlink" Target="https://linkinghub.elsevier.com/retrieve/pii/S2095809921000473" TargetMode="External"/><Relationship Id="rId15" Type="http://schemas.openxmlformats.org/officeDocument/2006/relationships/hyperlink" Target="https://cea.nic.in/wp-content/uploads/2020/04/report_85_pul_coal.pdf" TargetMode="External"/><Relationship Id="rId10" Type="http://schemas.openxmlformats.org/officeDocument/2006/relationships/hyperlink" Target="https://info.ornl.gov/sites/publications/files/Pub62809.pdf" TargetMode="External"/><Relationship Id="rId4" Type="http://schemas.openxmlformats.org/officeDocument/2006/relationships/hyperlink" Target="https://www.mdpi.com/1996-1073/14/4/1197" TargetMode="External"/><Relationship Id="rId9" Type="http://schemas.openxmlformats.org/officeDocument/2006/relationships/hyperlink" Target="https://inldigitallibrary.inl.gov/sites/sti/sti/5554590.pdf" TargetMode="External"/><Relationship Id="rId14" Type="http://schemas.openxmlformats.org/officeDocument/2006/relationships/hyperlink" Target="https://www.nrel.gov/docs/fy06osti/40166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6BF5-B2B4-D84B-BAA7-FC4DF62F9CF2}">
  <dimension ref="B2:L114"/>
  <sheetViews>
    <sheetView topLeftCell="A39" zoomScale="75" zoomScaleNormal="100" workbookViewId="0">
      <selection activeCell="H25" sqref="H25"/>
    </sheetView>
  </sheetViews>
  <sheetFormatPr baseColWidth="10" defaultColWidth="11" defaultRowHeight="16"/>
  <cols>
    <col min="2" max="2" width="36.5" style="81" customWidth="1"/>
    <col min="3" max="3" width="28.33203125" style="81" customWidth="1"/>
    <col min="4" max="4" width="13.33203125" style="81" bestFit="1" customWidth="1"/>
    <col min="5" max="5" width="16" style="81" customWidth="1"/>
    <col min="6" max="6" width="50.33203125" style="80" customWidth="1"/>
    <col min="7" max="7" width="19.5" style="81" customWidth="1"/>
    <col min="8" max="8" width="41" style="80" customWidth="1"/>
    <col min="9" max="9" width="33.83203125" style="80" customWidth="1"/>
    <col min="11" max="11" width="30.1640625" customWidth="1"/>
  </cols>
  <sheetData>
    <row r="2" spans="2:9" ht="17" thickBot="1"/>
    <row r="3" spans="2:9" ht="57" customHeight="1" thickBot="1">
      <c r="B3" s="82" t="s">
        <v>0</v>
      </c>
      <c r="C3" s="11" t="s">
        <v>1</v>
      </c>
      <c r="D3" s="11" t="s">
        <v>2</v>
      </c>
      <c r="E3" s="12" t="s">
        <v>3</v>
      </c>
      <c r="F3" s="12" t="s">
        <v>4</v>
      </c>
      <c r="G3" s="12" t="s">
        <v>5</v>
      </c>
      <c r="H3" s="14" t="s">
        <v>6</v>
      </c>
      <c r="I3" s="13" t="s">
        <v>7</v>
      </c>
    </row>
    <row r="4" spans="2:9" ht="48" customHeight="1">
      <c r="B4" s="268" t="s">
        <v>8</v>
      </c>
      <c r="C4" s="83" t="s">
        <v>9</v>
      </c>
      <c r="D4" s="81" t="s">
        <v>10</v>
      </c>
      <c r="E4" s="81" t="s">
        <v>11</v>
      </c>
      <c r="F4" s="80" t="s">
        <v>12</v>
      </c>
      <c r="G4" s="81" t="s">
        <v>13</v>
      </c>
      <c r="H4" s="80" t="s">
        <v>14</v>
      </c>
      <c r="I4" s="84"/>
    </row>
    <row r="5" spans="2:9" ht="57" customHeight="1">
      <c r="B5" s="269"/>
      <c r="C5" s="261" t="s">
        <v>15</v>
      </c>
      <c r="D5" s="81" t="s">
        <v>10</v>
      </c>
      <c r="E5" s="326" t="s">
        <v>80</v>
      </c>
      <c r="F5" s="326" t="s">
        <v>1113</v>
      </c>
      <c r="G5" s="326" t="s">
        <v>1116</v>
      </c>
      <c r="H5" s="80" t="s">
        <v>1110</v>
      </c>
      <c r="I5" s="259"/>
    </row>
    <row r="6" spans="2:9" ht="57" customHeight="1">
      <c r="B6" s="269"/>
      <c r="C6" s="261" t="s">
        <v>16</v>
      </c>
      <c r="D6" s="81" t="s">
        <v>10</v>
      </c>
      <c r="E6" s="326" t="s">
        <v>80</v>
      </c>
      <c r="F6" s="326" t="s">
        <v>1114</v>
      </c>
      <c r="G6" s="326" t="s">
        <v>1116</v>
      </c>
      <c r="H6" s="80" t="s">
        <v>1109</v>
      </c>
      <c r="I6" s="259"/>
    </row>
    <row r="7" spans="2:9" ht="52" thickBot="1">
      <c r="B7" s="270"/>
      <c r="C7" s="81" t="s">
        <v>17</v>
      </c>
      <c r="D7" s="81" t="s">
        <v>10</v>
      </c>
      <c r="E7" s="81" t="s">
        <v>1111</v>
      </c>
      <c r="F7" s="80" t="s">
        <v>1115</v>
      </c>
      <c r="G7" s="81" t="s">
        <v>1118</v>
      </c>
      <c r="H7" s="80" t="s">
        <v>1112</v>
      </c>
      <c r="I7" s="259"/>
    </row>
    <row r="8" spans="2:9" ht="51">
      <c r="B8" s="268" t="s">
        <v>18</v>
      </c>
      <c r="C8" s="98" t="s">
        <v>19</v>
      </c>
      <c r="D8" s="85" t="s">
        <v>10</v>
      </c>
      <c r="E8" s="85" t="s">
        <v>20</v>
      </c>
      <c r="F8" s="86" t="s">
        <v>21</v>
      </c>
      <c r="G8" s="85"/>
      <c r="H8" s="86" t="s">
        <v>22</v>
      </c>
      <c r="I8" s="87"/>
    </row>
    <row r="9" spans="2:9" ht="51">
      <c r="B9" s="269"/>
      <c r="C9" s="79" t="s">
        <v>23</v>
      </c>
      <c r="D9" s="81" t="s">
        <v>10</v>
      </c>
      <c r="E9" s="81" t="s">
        <v>20</v>
      </c>
      <c r="F9" s="80" t="s">
        <v>24</v>
      </c>
      <c r="H9" s="80" t="s">
        <v>22</v>
      </c>
      <c r="I9" s="84"/>
    </row>
    <row r="10" spans="2:9" ht="51">
      <c r="B10" s="269"/>
      <c r="C10" s="79" t="s">
        <v>25</v>
      </c>
      <c r="D10" s="81" t="s">
        <v>10</v>
      </c>
      <c r="E10" s="81" t="s">
        <v>20</v>
      </c>
      <c r="F10" s="80" t="s">
        <v>26</v>
      </c>
      <c r="H10" s="80" t="s">
        <v>22</v>
      </c>
      <c r="I10" s="84"/>
    </row>
    <row r="11" spans="2:9" ht="17" customHeight="1">
      <c r="B11" s="269"/>
      <c r="C11" s="79" t="s">
        <v>27</v>
      </c>
      <c r="D11" s="81">
        <v>52</v>
      </c>
      <c r="E11" s="81" t="s">
        <v>28</v>
      </c>
      <c r="F11" s="80" t="s">
        <v>29</v>
      </c>
      <c r="H11" s="80" t="s">
        <v>30</v>
      </c>
      <c r="I11" s="84"/>
    </row>
    <row r="12" spans="2:9" ht="17" customHeight="1">
      <c r="B12" s="269"/>
      <c r="C12" s="79" t="s">
        <v>31</v>
      </c>
      <c r="D12" s="81">
        <v>168</v>
      </c>
      <c r="E12" s="81" t="s">
        <v>32</v>
      </c>
      <c r="F12" s="80" t="s">
        <v>33</v>
      </c>
      <c r="H12" s="80" t="s">
        <v>30</v>
      </c>
      <c r="I12" s="84"/>
    </row>
    <row r="13" spans="2:9" ht="69" thickBot="1">
      <c r="B13" s="270"/>
      <c r="C13" s="99" t="s">
        <v>34</v>
      </c>
      <c r="D13" s="88">
        <v>23</v>
      </c>
      <c r="E13" s="88" t="s">
        <v>28</v>
      </c>
      <c r="F13" s="89" t="s">
        <v>35</v>
      </c>
      <c r="G13" s="88"/>
      <c r="H13" s="89" t="s">
        <v>36</v>
      </c>
      <c r="I13" s="90"/>
    </row>
    <row r="14" spans="2:9" ht="17">
      <c r="B14" s="268" t="s">
        <v>37</v>
      </c>
      <c r="C14" s="81" t="s">
        <v>38</v>
      </c>
      <c r="D14" s="81">
        <v>0.44500000000000001</v>
      </c>
      <c r="E14" s="81" t="s">
        <v>39</v>
      </c>
      <c r="F14" s="80" t="s">
        <v>40</v>
      </c>
      <c r="G14" s="81" t="s">
        <v>41</v>
      </c>
      <c r="I14" s="84"/>
    </row>
    <row r="15" spans="2:9" ht="17">
      <c r="B15" s="269"/>
      <c r="C15" s="81" t="s">
        <v>42</v>
      </c>
      <c r="D15" s="81">
        <v>540</v>
      </c>
      <c r="E15" s="81" t="s">
        <v>43</v>
      </c>
      <c r="F15" s="80" t="s">
        <v>44</v>
      </c>
      <c r="G15" s="81" t="s">
        <v>45</v>
      </c>
      <c r="I15" s="84"/>
    </row>
    <row r="16" spans="2:9" ht="17">
      <c r="B16" s="269"/>
      <c r="C16" s="81" t="s">
        <v>46</v>
      </c>
      <c r="D16" s="81">
        <v>0.17</v>
      </c>
      <c r="E16" s="81" t="s">
        <v>47</v>
      </c>
      <c r="F16" s="80" t="s">
        <v>48</v>
      </c>
      <c r="G16" s="81" t="s">
        <v>49</v>
      </c>
      <c r="I16" s="84"/>
    </row>
    <row r="17" spans="2:9" ht="85">
      <c r="B17" s="269"/>
      <c r="C17" s="81" t="s">
        <v>50</v>
      </c>
      <c r="D17" s="81">
        <f xml:space="preserve"> (14 / 3.412)</f>
        <v>4.1031652989449006</v>
      </c>
      <c r="E17" s="81" t="s">
        <v>51</v>
      </c>
      <c r="F17" s="80" t="s">
        <v>1099</v>
      </c>
      <c r="G17" s="81" t="s">
        <v>52</v>
      </c>
      <c r="I17" s="84"/>
    </row>
    <row r="18" spans="2:9" ht="102">
      <c r="B18" s="269"/>
      <c r="C18" s="81" t="s">
        <v>53</v>
      </c>
      <c r="D18" s="81">
        <f>10.15/1000</f>
        <v>1.0150000000000001E-2</v>
      </c>
      <c r="E18" s="81" t="s">
        <v>54</v>
      </c>
      <c r="F18" s="80" t="s">
        <v>55</v>
      </c>
      <c r="G18" s="81" t="s">
        <v>56</v>
      </c>
      <c r="H18" s="80" t="s">
        <v>57</v>
      </c>
      <c r="I18" s="84"/>
    </row>
    <row r="19" spans="2:9" ht="17">
      <c r="B19" s="269"/>
      <c r="C19" s="81" t="s">
        <v>58</v>
      </c>
      <c r="D19" s="81">
        <v>500</v>
      </c>
      <c r="E19" s="81" t="s">
        <v>59</v>
      </c>
      <c r="F19" s="80" t="s">
        <v>60</v>
      </c>
      <c r="G19" s="81" t="s">
        <v>61</v>
      </c>
      <c r="H19" s="80" t="s">
        <v>62</v>
      </c>
      <c r="I19" s="84"/>
    </row>
    <row r="20" spans="2:9" ht="17">
      <c r="B20" s="269"/>
      <c r="C20" s="81" t="s">
        <v>63</v>
      </c>
      <c r="D20" s="81">
        <v>500</v>
      </c>
      <c r="E20" s="81" t="s">
        <v>59</v>
      </c>
      <c r="F20" s="80" t="s">
        <v>60</v>
      </c>
      <c r="G20" s="81" t="s">
        <v>61</v>
      </c>
      <c r="I20" s="84"/>
    </row>
    <row r="21" spans="2:9" ht="17">
      <c r="B21" s="269"/>
      <c r="C21" s="81" t="s">
        <v>64</v>
      </c>
      <c r="D21" s="81">
        <v>0.5</v>
      </c>
      <c r="E21" s="81" t="s">
        <v>47</v>
      </c>
      <c r="F21" s="80" t="s">
        <v>65</v>
      </c>
      <c r="G21" s="81" t="s">
        <v>61</v>
      </c>
      <c r="H21" s="262"/>
      <c r="I21" s="84"/>
    </row>
    <row r="22" spans="2:9" ht="34">
      <c r="B22" s="269"/>
      <c r="C22" s="81" t="s">
        <v>66</v>
      </c>
      <c r="D22" s="81">
        <f>0.26*BESS!J3/1000</f>
        <v>31.564</v>
      </c>
      <c r="E22" s="81" t="s">
        <v>67</v>
      </c>
      <c r="F22" s="80" t="s">
        <v>68</v>
      </c>
      <c r="G22" s="81" t="s">
        <v>69</v>
      </c>
      <c r="H22" s="262"/>
      <c r="I22" s="84"/>
    </row>
    <row r="23" spans="2:9" ht="17">
      <c r="B23" s="269"/>
      <c r="C23" s="81" t="s">
        <v>70</v>
      </c>
      <c r="D23" s="81">
        <v>0</v>
      </c>
      <c r="E23" s="81" t="s">
        <v>71</v>
      </c>
      <c r="F23" s="80" t="s">
        <v>72</v>
      </c>
      <c r="G23" s="81" t="s">
        <v>73</v>
      </c>
      <c r="H23" s="328" t="s">
        <v>1119</v>
      </c>
      <c r="I23" s="84"/>
    </row>
    <row r="24" spans="2:9" ht="68">
      <c r="B24" s="269"/>
      <c r="C24" s="81" t="s">
        <v>74</v>
      </c>
      <c r="D24" s="324">
        <f>4189*1.22*3221.656382/4189 / 1000/BESS!J4</f>
        <v>4.7715308342239311E-2</v>
      </c>
      <c r="E24" s="324" t="s">
        <v>75</v>
      </c>
      <c r="F24" s="325" t="s">
        <v>1108</v>
      </c>
      <c r="G24" s="81" t="s">
        <v>76</v>
      </c>
      <c r="H24" s="80" t="s">
        <v>1136</v>
      </c>
      <c r="I24" s="96"/>
    </row>
    <row r="25" spans="2:9" ht="51">
      <c r="B25" s="269"/>
      <c r="C25" s="81" t="s">
        <v>77</v>
      </c>
      <c r="D25" s="324">
        <f>8 * 1000 / BESS!J4 /1000</f>
        <v>9.711999999941727E-2</v>
      </c>
      <c r="E25" s="324" t="s">
        <v>78</v>
      </c>
      <c r="F25" s="325" t="s">
        <v>1107</v>
      </c>
      <c r="G25" s="81" t="s">
        <v>76</v>
      </c>
      <c r="H25" s="262"/>
      <c r="I25" s="96"/>
    </row>
    <row r="26" spans="2:9" ht="17">
      <c r="B26" s="269"/>
      <c r="C26" s="81" t="s">
        <v>79</v>
      </c>
      <c r="D26" s="81">
        <v>0.06</v>
      </c>
      <c r="E26" s="81" t="s">
        <v>80</v>
      </c>
      <c r="F26" s="80" t="s">
        <v>81</v>
      </c>
      <c r="H26" s="262"/>
      <c r="I26" s="96"/>
    </row>
    <row r="27" spans="2:9" ht="34">
      <c r="B27" s="269"/>
      <c r="C27" s="81" t="s">
        <v>82</v>
      </c>
      <c r="D27" s="81">
        <v>0</v>
      </c>
      <c r="E27" s="81" t="s">
        <v>83</v>
      </c>
      <c r="F27" s="80" t="s">
        <v>84</v>
      </c>
      <c r="G27" s="81" t="s">
        <v>85</v>
      </c>
      <c r="I27" s="84"/>
    </row>
    <row r="28" spans="2:9" ht="52" thickBot="1">
      <c r="B28" s="269"/>
      <c r="C28" s="81" t="s">
        <v>86</v>
      </c>
      <c r="D28" s="81">
        <v>25</v>
      </c>
      <c r="E28" s="81" t="s">
        <v>87</v>
      </c>
      <c r="F28" s="80" t="s">
        <v>88</v>
      </c>
      <c r="G28" s="81" t="s">
        <v>61</v>
      </c>
      <c r="I28" s="84"/>
    </row>
    <row r="29" spans="2:9" ht="34">
      <c r="B29" s="268" t="s">
        <v>89</v>
      </c>
      <c r="C29" s="85" t="s">
        <v>90</v>
      </c>
      <c r="D29" s="85">
        <f>565+275</f>
        <v>840</v>
      </c>
      <c r="E29" s="85" t="s">
        <v>91</v>
      </c>
      <c r="F29" s="86" t="s">
        <v>92</v>
      </c>
      <c r="G29" s="85" t="s">
        <v>93</v>
      </c>
      <c r="H29" s="86" t="s">
        <v>94</v>
      </c>
      <c r="I29" s="87"/>
    </row>
    <row r="30" spans="2:9" ht="34">
      <c r="B30" s="269"/>
      <c r="C30" s="81" t="s">
        <v>95</v>
      </c>
      <c r="D30" s="81">
        <f>290+273</f>
        <v>563</v>
      </c>
      <c r="E30" s="81" t="s">
        <v>91</v>
      </c>
      <c r="F30" s="80" t="s">
        <v>96</v>
      </c>
      <c r="G30" s="81" t="s">
        <v>93</v>
      </c>
      <c r="H30" s="80" t="s">
        <v>94</v>
      </c>
      <c r="I30" s="91"/>
    </row>
    <row r="31" spans="2:9" ht="35" thickBot="1">
      <c r="B31" s="270"/>
      <c r="C31" s="88" t="s">
        <v>97</v>
      </c>
      <c r="D31" s="92">
        <v>1.56</v>
      </c>
      <c r="E31" s="88" t="s">
        <v>98</v>
      </c>
      <c r="F31" s="93" t="s">
        <v>99</v>
      </c>
      <c r="G31" s="88" t="s">
        <v>100</v>
      </c>
      <c r="H31" s="89" t="s">
        <v>94</v>
      </c>
      <c r="I31" s="90"/>
    </row>
    <row r="32" spans="2:9" ht="34">
      <c r="B32" s="268" t="s">
        <v>101</v>
      </c>
      <c r="C32" s="81" t="s">
        <v>102</v>
      </c>
      <c r="D32" s="94">
        <f>'Calculation tank cost'!D31</f>
        <v>20.891730259760642</v>
      </c>
      <c r="E32" s="81" t="s">
        <v>103</v>
      </c>
      <c r="F32" s="80" t="s">
        <v>104</v>
      </c>
      <c r="G32" s="81" t="s">
        <v>105</v>
      </c>
      <c r="H32" s="80" t="s">
        <v>106</v>
      </c>
      <c r="I32" s="84"/>
    </row>
    <row r="33" spans="2:9" ht="17">
      <c r="B33" s="269"/>
      <c r="C33" s="81" t="s">
        <v>107</v>
      </c>
      <c r="D33" s="94">
        <v>0</v>
      </c>
      <c r="E33" s="81" t="s">
        <v>32</v>
      </c>
      <c r="F33" s="80" t="s">
        <v>108</v>
      </c>
      <c r="H33" s="80" t="s">
        <v>1133</v>
      </c>
      <c r="I33" s="84"/>
    </row>
    <row r="34" spans="2:9" ht="35" thickBot="1">
      <c r="B34" s="269"/>
      <c r="C34" s="99" t="s">
        <v>109</v>
      </c>
      <c r="D34" s="88">
        <v>4.1666670000000002E-4</v>
      </c>
      <c r="E34" s="88" t="s">
        <v>47</v>
      </c>
      <c r="F34" s="80" t="s">
        <v>110</v>
      </c>
      <c r="G34" s="95" t="s">
        <v>111</v>
      </c>
      <c r="I34" s="84"/>
    </row>
    <row r="35" spans="2:9" ht="51">
      <c r="B35" s="271" t="s">
        <v>112</v>
      </c>
      <c r="C35" s="98" t="s">
        <v>113</v>
      </c>
      <c r="D35" s="40">
        <v>4000</v>
      </c>
      <c r="E35" s="329" t="s">
        <v>83</v>
      </c>
      <c r="F35" s="86" t="s">
        <v>1120</v>
      </c>
      <c r="G35" s="85" t="s">
        <v>114</v>
      </c>
      <c r="H35" s="86" t="s">
        <v>1121</v>
      </c>
      <c r="I35" s="263"/>
    </row>
    <row r="36" spans="2:9" ht="55" customHeight="1">
      <c r="B36" s="272"/>
      <c r="C36" s="79" t="s">
        <v>115</v>
      </c>
      <c r="D36">
        <f>281.3*505*1.2 / 1000 * 2.55</f>
        <v>434.69288999999992</v>
      </c>
      <c r="E36" t="s">
        <v>83</v>
      </c>
      <c r="F36" s="80" t="s">
        <v>1127</v>
      </c>
      <c r="I36" s="96"/>
    </row>
    <row r="37" spans="2:9" ht="55" customHeight="1">
      <c r="B37" s="272"/>
      <c r="C37" s="79" t="s">
        <v>116</v>
      </c>
      <c r="D37">
        <f>5000*260.7*1.2 / 1000 *1.76</f>
        <v>2752.9920000000002</v>
      </c>
      <c r="E37" t="s">
        <v>83</v>
      </c>
      <c r="F37" s="80" t="s">
        <v>1128</v>
      </c>
      <c r="I37" s="96"/>
    </row>
    <row r="38" spans="2:9" ht="55" customHeight="1">
      <c r="B38" s="272"/>
      <c r="C38" s="79" t="s">
        <v>118</v>
      </c>
      <c r="D38">
        <f>10000*107.2*1.73*1.2 / 1000</f>
        <v>2225.4720000000002</v>
      </c>
      <c r="E38" t="s">
        <v>83</v>
      </c>
      <c r="F38" s="80" t="s">
        <v>1129</v>
      </c>
      <c r="I38" s="96"/>
    </row>
    <row r="39" spans="2:9" ht="55" customHeight="1">
      <c r="B39" s="272"/>
      <c r="C39" s="79" t="s">
        <v>119</v>
      </c>
      <c r="D39">
        <v>3.08</v>
      </c>
      <c r="E39" t="s">
        <v>122</v>
      </c>
      <c r="F39" s="80" t="s">
        <v>120</v>
      </c>
      <c r="G39" s="81" t="s">
        <v>114</v>
      </c>
      <c r="H39" s="343" t="s">
        <v>1121</v>
      </c>
      <c r="I39" s="96"/>
    </row>
    <row r="40" spans="2:9" ht="55" customHeight="1">
      <c r="B40" s="272"/>
      <c r="C40" s="79" t="s">
        <v>121</v>
      </c>
      <c r="D40">
        <f>'Calculation heat exchanger'!S6</f>
        <v>0.62670500000000007</v>
      </c>
      <c r="E40" t="s">
        <v>122</v>
      </c>
      <c r="F40" s="80" t="s">
        <v>1130</v>
      </c>
      <c r="I40" s="96"/>
    </row>
    <row r="41" spans="2:9" ht="55" customHeight="1">
      <c r="B41" s="272"/>
      <c r="C41" s="79" t="s">
        <v>124</v>
      </c>
      <c r="D41">
        <f>'Calculation heat exchanger'!S7</f>
        <v>6.4749999999999996</v>
      </c>
      <c r="E41" t="s">
        <v>122</v>
      </c>
      <c r="F41" s="80" t="s">
        <v>1128</v>
      </c>
      <c r="I41" s="96"/>
    </row>
    <row r="42" spans="2:9" ht="55" customHeight="1">
      <c r="B42" s="272"/>
      <c r="C42" s="79" t="s">
        <v>125</v>
      </c>
      <c r="D42">
        <f>'Calculation heat exchanger'!S8</f>
        <v>14.48</v>
      </c>
      <c r="E42" t="s">
        <v>122</v>
      </c>
      <c r="F42" s="80" t="s">
        <v>1131</v>
      </c>
      <c r="I42" s="96"/>
    </row>
    <row r="43" spans="2:9" ht="55" customHeight="1">
      <c r="B43" s="272"/>
      <c r="C43" s="79" t="s">
        <v>127</v>
      </c>
      <c r="D43">
        <v>0.6</v>
      </c>
      <c r="E43"/>
      <c r="F43" s="80" t="s">
        <v>128</v>
      </c>
      <c r="G43" s="81" t="s">
        <v>93</v>
      </c>
      <c r="H43" s="343" t="s">
        <v>1121</v>
      </c>
      <c r="I43" s="96"/>
    </row>
    <row r="44" spans="2:9" ht="55" customHeight="1">
      <c r="B44" s="272"/>
      <c r="C44" s="79" t="s">
        <v>129</v>
      </c>
      <c r="D44">
        <v>0.74099999999999999</v>
      </c>
      <c r="E44"/>
      <c r="F44" s="80" t="s">
        <v>1132</v>
      </c>
      <c r="I44" s="96"/>
    </row>
    <row r="45" spans="2:9" ht="55" customHeight="1">
      <c r="B45" s="272"/>
      <c r="C45" s="79" t="s">
        <v>130</v>
      </c>
      <c r="D45">
        <v>0.78800000000000003</v>
      </c>
      <c r="E45"/>
      <c r="F45" s="80" t="s">
        <v>1132</v>
      </c>
      <c r="I45" s="96"/>
    </row>
    <row r="46" spans="2:9" ht="17">
      <c r="B46" s="272"/>
      <c r="C46" s="79" t="s">
        <v>131</v>
      </c>
      <c r="D46">
        <v>0.68400000000000005</v>
      </c>
      <c r="E46"/>
      <c r="F46" s="80" t="s">
        <v>1132</v>
      </c>
      <c r="I46" s="84"/>
    </row>
    <row r="47" spans="2:9" ht="17">
      <c r="B47" s="269"/>
      <c r="C47" s="81" t="s">
        <v>132</v>
      </c>
      <c r="D47" s="81">
        <v>0.1</v>
      </c>
      <c r="E47" s="81" t="s">
        <v>133</v>
      </c>
      <c r="F47" s="80" t="s">
        <v>134</v>
      </c>
      <c r="H47" s="80" t="s">
        <v>1133</v>
      </c>
      <c r="I47" s="84"/>
    </row>
    <row r="48" spans="2:9" ht="35" thickBot="1">
      <c r="B48" s="270"/>
      <c r="C48" s="88" t="s">
        <v>135</v>
      </c>
      <c r="D48" s="88">
        <v>0.03</v>
      </c>
      <c r="E48" s="88" t="s">
        <v>47</v>
      </c>
      <c r="F48" s="89" t="s">
        <v>136</v>
      </c>
      <c r="G48" s="88" t="s">
        <v>111</v>
      </c>
      <c r="H48" s="89"/>
      <c r="I48" s="90"/>
    </row>
    <row r="49" spans="2:9" ht="34">
      <c r="B49" s="268" t="s">
        <v>137</v>
      </c>
      <c r="C49" s="324" t="s">
        <v>138</v>
      </c>
      <c r="D49" s="330">
        <f>'Calculation tank cost'!D32</f>
        <v>4.6618615384615385</v>
      </c>
      <c r="E49" s="324" t="s">
        <v>139</v>
      </c>
      <c r="F49" s="325" t="s">
        <v>140</v>
      </c>
      <c r="G49" s="324" t="s">
        <v>141</v>
      </c>
      <c r="H49" s="325"/>
      <c r="I49" s="331"/>
    </row>
    <row r="50" spans="2:9" ht="17">
      <c r="B50" s="269"/>
      <c r="C50" s="81" t="s">
        <v>142</v>
      </c>
      <c r="D50" s="81">
        <f>'Calculation salt pumps'!D4</f>
        <v>2.1609989383215371</v>
      </c>
      <c r="E50" s="83" t="s">
        <v>143</v>
      </c>
      <c r="F50" s="80" t="s">
        <v>144</v>
      </c>
      <c r="G50" s="81" t="s">
        <v>145</v>
      </c>
      <c r="I50" s="96"/>
    </row>
    <row r="51" spans="2:9" ht="17">
      <c r="B51" s="269"/>
      <c r="C51" s="81" t="s">
        <v>146</v>
      </c>
      <c r="D51" s="81">
        <f>'Calculation salt pumps'!D5</f>
        <v>233.18864964610719</v>
      </c>
      <c r="E51" s="83" t="s">
        <v>83</v>
      </c>
      <c r="F51" s="80" t="s">
        <v>144</v>
      </c>
      <c r="G51" s="81" t="s">
        <v>145</v>
      </c>
      <c r="I51" s="96"/>
    </row>
    <row r="52" spans="2:9" ht="17">
      <c r="B52" s="269"/>
      <c r="C52" s="81" t="s">
        <v>147</v>
      </c>
      <c r="D52" s="81">
        <v>15</v>
      </c>
      <c r="E52" s="81" t="s">
        <v>148</v>
      </c>
      <c r="F52" s="80" t="s">
        <v>149</v>
      </c>
      <c r="G52" s="81" t="s">
        <v>150</v>
      </c>
      <c r="I52" s="84"/>
    </row>
    <row r="53" spans="2:9" ht="17">
      <c r="B53" s="269"/>
      <c r="C53" s="81" t="s">
        <v>151</v>
      </c>
      <c r="D53" s="81">
        <v>9.81</v>
      </c>
      <c r="E53" s="81" t="s">
        <v>152</v>
      </c>
      <c r="F53" s="80" t="s">
        <v>153</v>
      </c>
      <c r="I53" s="84"/>
    </row>
    <row r="54" spans="2:9" ht="17">
      <c r="B54" s="269"/>
      <c r="C54" s="81" t="s">
        <v>154</v>
      </c>
      <c r="D54" s="81">
        <v>0.75</v>
      </c>
      <c r="E54" s="81" t="s">
        <v>47</v>
      </c>
      <c r="F54" s="80" t="s">
        <v>155</v>
      </c>
      <c r="G54" s="81" t="s">
        <v>150</v>
      </c>
      <c r="I54" s="84"/>
    </row>
    <row r="55" spans="2:9" ht="17">
      <c r="B55" s="269"/>
      <c r="C55" s="81" t="s">
        <v>156</v>
      </c>
      <c r="D55" s="81">
        <f>'Calculation salt pumps'!D6</f>
        <v>0.71587705257836198</v>
      </c>
      <c r="E55" s="83" t="s">
        <v>143</v>
      </c>
      <c r="F55" s="80" t="s">
        <v>144</v>
      </c>
      <c r="G55" s="81" t="s">
        <v>145</v>
      </c>
      <c r="I55" s="96"/>
    </row>
    <row r="56" spans="2:9" ht="18" thickBot="1">
      <c r="B56" s="269"/>
      <c r="C56" s="81" t="s">
        <v>157</v>
      </c>
      <c r="D56" s="81">
        <f>'Calculation salt pumps'!D7</f>
        <v>302.26857735085946</v>
      </c>
      <c r="E56" s="83" t="s">
        <v>83</v>
      </c>
      <c r="F56" s="80" t="s">
        <v>144</v>
      </c>
      <c r="G56" s="81" t="s">
        <v>145</v>
      </c>
      <c r="I56" s="84"/>
    </row>
    <row r="57" spans="2:9" ht="17">
      <c r="B57" s="268" t="s">
        <v>158</v>
      </c>
      <c r="C57" s="332" t="s">
        <v>159</v>
      </c>
      <c r="D57" s="332">
        <v>3.3</v>
      </c>
      <c r="E57" s="332" t="s">
        <v>139</v>
      </c>
      <c r="F57" s="333" t="s">
        <v>160</v>
      </c>
      <c r="G57" s="332" t="s">
        <v>161</v>
      </c>
      <c r="H57" s="333"/>
      <c r="I57" s="334"/>
    </row>
    <row r="58" spans="2:9" ht="18" thickBot="1">
      <c r="B58" s="270"/>
      <c r="C58" s="88" t="s">
        <v>162</v>
      </c>
      <c r="D58" s="88">
        <v>0.95</v>
      </c>
      <c r="E58" s="88" t="s">
        <v>47</v>
      </c>
      <c r="F58" s="89" t="s">
        <v>163</v>
      </c>
      <c r="G58" s="88" t="s">
        <v>161</v>
      </c>
      <c r="H58" s="89"/>
      <c r="I58" s="90"/>
    </row>
    <row r="59" spans="2:9" ht="51">
      <c r="B59" s="268" t="s">
        <v>164</v>
      </c>
      <c r="C59" s="81" t="s">
        <v>165</v>
      </c>
      <c r="D59" s="81">
        <f>'Calculations Aspen'!D23</f>
        <v>25</v>
      </c>
      <c r="E59" s="81" t="s">
        <v>166</v>
      </c>
      <c r="F59" s="80" t="s">
        <v>167</v>
      </c>
      <c r="G59" s="81" t="s">
        <v>168</v>
      </c>
      <c r="I59" s="84"/>
    </row>
    <row r="60" spans="2:9" ht="17">
      <c r="B60" s="269"/>
      <c r="C60" s="81" t="s">
        <v>169</v>
      </c>
      <c r="D60" s="81">
        <v>139.4</v>
      </c>
      <c r="E60" s="81" t="s">
        <v>91</v>
      </c>
      <c r="I60" s="84"/>
    </row>
    <row r="61" spans="2:9" ht="17">
      <c r="B61" s="269"/>
      <c r="C61" s="81" t="s">
        <v>170</v>
      </c>
      <c r="D61" s="81">
        <v>73</v>
      </c>
      <c r="E61" s="81" t="s">
        <v>91</v>
      </c>
      <c r="I61" s="84"/>
    </row>
    <row r="62" spans="2:9" ht="51">
      <c r="B62" s="269"/>
      <c r="C62" s="81" t="s">
        <v>171</v>
      </c>
      <c r="D62" s="81">
        <v>255</v>
      </c>
      <c r="E62" s="81" t="s">
        <v>166</v>
      </c>
      <c r="F62" s="80" t="s">
        <v>172</v>
      </c>
      <c r="G62" s="81" t="s">
        <v>168</v>
      </c>
      <c r="I62" s="84"/>
    </row>
    <row r="63" spans="2:9" ht="34">
      <c r="B63" s="269"/>
      <c r="C63" s="81" t="s">
        <v>173</v>
      </c>
      <c r="D63" s="94">
        <v>0.41</v>
      </c>
      <c r="E63" s="81" t="s">
        <v>174</v>
      </c>
      <c r="F63" s="80" t="s">
        <v>175</v>
      </c>
      <c r="G63" s="81" t="s">
        <v>168</v>
      </c>
      <c r="I63" s="96"/>
    </row>
    <row r="64" spans="2:9" ht="51">
      <c r="B64" s="269"/>
      <c r="C64" s="81" t="s">
        <v>176</v>
      </c>
      <c r="D64" s="94">
        <v>4</v>
      </c>
      <c r="E64" s="81" t="s">
        <v>177</v>
      </c>
      <c r="F64" s="80" t="s">
        <v>178</v>
      </c>
      <c r="I64" s="96"/>
    </row>
    <row r="65" spans="2:10" ht="17">
      <c r="B65" s="269"/>
      <c r="C65" s="81" t="s">
        <v>179</v>
      </c>
      <c r="D65" s="94">
        <v>0.28999999999999998</v>
      </c>
      <c r="E65" s="81" t="s">
        <v>80</v>
      </c>
      <c r="F65" s="80" t="s">
        <v>180</v>
      </c>
      <c r="I65" s="96"/>
    </row>
    <row r="66" spans="2:10" ht="17">
      <c r="B66" s="269"/>
      <c r="C66" s="81" t="s">
        <v>181</v>
      </c>
      <c r="D66" s="94">
        <v>0.24</v>
      </c>
      <c r="E66" s="81" t="s">
        <v>80</v>
      </c>
      <c r="F66" s="80" t="s">
        <v>182</v>
      </c>
      <c r="I66" s="96"/>
    </row>
    <row r="67" spans="2:10" ht="17">
      <c r="B67" s="269"/>
      <c r="C67" s="81" t="s">
        <v>183</v>
      </c>
      <c r="D67" s="94">
        <v>0.47</v>
      </c>
      <c r="E67" s="81" t="s">
        <v>80</v>
      </c>
      <c r="F67" s="80" t="s">
        <v>184</v>
      </c>
      <c r="I67" s="96"/>
    </row>
    <row r="68" spans="2:10" ht="18" thickBot="1">
      <c r="B68" s="269"/>
      <c r="C68" s="81" t="s">
        <v>185</v>
      </c>
      <c r="D68" s="97">
        <v>3477</v>
      </c>
      <c r="E68" s="81" t="s">
        <v>186</v>
      </c>
      <c r="F68" s="80" t="s">
        <v>187</v>
      </c>
      <c r="G68" s="81" t="s">
        <v>168</v>
      </c>
      <c r="H68" s="329" t="s">
        <v>1124</v>
      </c>
      <c r="I68" s="84"/>
    </row>
    <row r="69" spans="2:10" ht="51">
      <c r="B69" s="268" t="s">
        <v>188</v>
      </c>
      <c r="C69" s="332" t="s">
        <v>189</v>
      </c>
      <c r="D69" s="332">
        <f>D89*TES_FOM!C12</f>
        <v>13.476030032727973</v>
      </c>
      <c r="E69" s="332" t="s">
        <v>190</v>
      </c>
      <c r="F69" s="337" t="s">
        <v>1122</v>
      </c>
      <c r="G69" s="332" t="s">
        <v>1064</v>
      </c>
      <c r="H69" s="333"/>
      <c r="I69" s="335"/>
    </row>
    <row r="70" spans="2:10" ht="17">
      <c r="B70" s="269"/>
      <c r="C70" s="324" t="s">
        <v>191</v>
      </c>
      <c r="D70" s="324">
        <f>'Calculations Aspen'!L45/1000</f>
        <v>1.04907E-3</v>
      </c>
      <c r="E70" s="324" t="s">
        <v>78</v>
      </c>
      <c r="F70" s="325" t="s">
        <v>1123</v>
      </c>
      <c r="G70" s="324" t="s">
        <v>73</v>
      </c>
      <c r="H70" s="325" t="s">
        <v>1124</v>
      </c>
      <c r="I70" s="336"/>
    </row>
    <row r="71" spans="2:10" ht="17">
      <c r="B71" s="269"/>
      <c r="C71" s="81" t="s">
        <v>192</v>
      </c>
      <c r="D71" s="81">
        <v>0.09</v>
      </c>
      <c r="E71" s="81" t="s">
        <v>80</v>
      </c>
      <c r="F71" s="80" t="s">
        <v>193</v>
      </c>
      <c r="G71" s="81" t="s">
        <v>194</v>
      </c>
      <c r="H71" s="325" t="s">
        <v>1124</v>
      </c>
      <c r="I71" s="84"/>
    </row>
    <row r="72" spans="2:10" ht="17">
      <c r="B72" s="269"/>
      <c r="C72" s="81" t="s">
        <v>195</v>
      </c>
      <c r="D72" s="81">
        <v>0.35</v>
      </c>
      <c r="E72" s="81" t="s">
        <v>196</v>
      </c>
      <c r="F72" s="80" t="s">
        <v>197</v>
      </c>
      <c r="G72" s="81" t="s">
        <v>198</v>
      </c>
      <c r="H72" s="325" t="s">
        <v>1124</v>
      </c>
      <c r="I72" s="84"/>
    </row>
    <row r="73" spans="2:10" ht="17">
      <c r="B73" s="269"/>
      <c r="C73" s="81" t="s">
        <v>199</v>
      </c>
      <c r="D73" s="81">
        <v>2.0000000000000002E-5</v>
      </c>
      <c r="E73" s="81" t="s">
        <v>200</v>
      </c>
      <c r="F73" s="80" t="s">
        <v>201</v>
      </c>
      <c r="G73" s="81" t="s">
        <v>198</v>
      </c>
      <c r="H73" s="325" t="s">
        <v>1124</v>
      </c>
      <c r="I73" s="84"/>
    </row>
    <row r="74" spans="2:10" ht="17">
      <c r="B74" s="269"/>
      <c r="C74" s="81" t="s">
        <v>202</v>
      </c>
      <c r="D74" s="81">
        <f>50/1000</f>
        <v>0.05</v>
      </c>
      <c r="E74" s="81" t="s">
        <v>203</v>
      </c>
      <c r="F74" s="80" t="s">
        <v>204</v>
      </c>
      <c r="H74" s="325" t="s">
        <v>1124</v>
      </c>
      <c r="I74" s="84"/>
    </row>
    <row r="75" spans="2:10" ht="17">
      <c r="B75" s="269"/>
      <c r="C75" s="324" t="s">
        <v>205</v>
      </c>
      <c r="D75" s="81">
        <v>0.03</v>
      </c>
      <c r="E75" s="81" t="s">
        <v>80</v>
      </c>
      <c r="F75" s="80" t="s">
        <v>206</v>
      </c>
      <c r="G75" s="81" t="s">
        <v>73</v>
      </c>
      <c r="I75" s="84"/>
    </row>
    <row r="76" spans="2:10" ht="18" thickBot="1">
      <c r="B76" s="270"/>
      <c r="C76" s="88" t="s">
        <v>207</v>
      </c>
      <c r="D76" s="88">
        <v>6000</v>
      </c>
      <c r="E76" s="88" t="s">
        <v>10</v>
      </c>
      <c r="F76" s="89" t="s">
        <v>208</v>
      </c>
      <c r="G76" s="88"/>
      <c r="H76" s="89"/>
      <c r="I76" s="90"/>
    </row>
    <row r="77" spans="2:10" ht="34">
      <c r="B77" s="268" t="s">
        <v>209</v>
      </c>
      <c r="C77" s="81" t="s">
        <v>210</v>
      </c>
      <c r="D77" s="81">
        <v>0</v>
      </c>
      <c r="E77" s="81" t="s">
        <v>211</v>
      </c>
      <c r="F77" s="80" t="s">
        <v>212</v>
      </c>
      <c r="H77" s="80" t="s">
        <v>1125</v>
      </c>
      <c r="I77" s="84"/>
    </row>
    <row r="78" spans="2:10" ht="52" customHeight="1" thickBot="1">
      <c r="B78" s="269"/>
      <c r="C78" s="81" t="s">
        <v>213</v>
      </c>
      <c r="D78" s="81">
        <v>0</v>
      </c>
      <c r="E78" s="81" t="s">
        <v>47</v>
      </c>
      <c r="F78" s="80" t="s">
        <v>214</v>
      </c>
      <c r="H78" s="80" t="s">
        <v>1125</v>
      </c>
      <c r="I78" s="84"/>
    </row>
    <row r="79" spans="2:10" ht="34" customHeight="1">
      <c r="B79" s="268" t="s">
        <v>215</v>
      </c>
      <c r="C79" s="98" t="s">
        <v>216</v>
      </c>
      <c r="D79" s="85">
        <v>0</v>
      </c>
      <c r="E79" s="85" t="s">
        <v>174</v>
      </c>
      <c r="F79" s="86" t="s">
        <v>217</v>
      </c>
      <c r="G79" s="85"/>
      <c r="H79" s="86" t="s">
        <v>218</v>
      </c>
      <c r="I79" s="87"/>
    </row>
    <row r="80" spans="2:10" ht="35" thickBot="1">
      <c r="B80" s="270"/>
      <c r="C80" s="338" t="s">
        <v>219</v>
      </c>
      <c r="D80" s="339">
        <v>3.3</v>
      </c>
      <c r="E80" s="339" t="s">
        <v>54</v>
      </c>
      <c r="F80" s="340" t="s">
        <v>220</v>
      </c>
      <c r="G80" s="339" t="s">
        <v>161</v>
      </c>
      <c r="H80" s="340"/>
      <c r="I80" s="341"/>
      <c r="J80" s="342"/>
    </row>
    <row r="81" spans="2:9" ht="16" customHeight="1">
      <c r="B81" s="268" t="s">
        <v>221</v>
      </c>
      <c r="C81" s="85" t="s">
        <v>222</v>
      </c>
      <c r="D81" s="85">
        <v>15</v>
      </c>
      <c r="E81" s="85"/>
      <c r="F81" s="86" t="s">
        <v>223</v>
      </c>
      <c r="G81" s="85"/>
      <c r="H81" s="86"/>
      <c r="I81" s="87"/>
    </row>
    <row r="82" spans="2:9" ht="16" customHeight="1">
      <c r="B82" s="269"/>
      <c r="C82" s="81" t="s">
        <v>224</v>
      </c>
      <c r="D82" s="81">
        <v>46.335000000000001</v>
      </c>
      <c r="E82" s="81" t="s">
        <v>225</v>
      </c>
      <c r="F82" s="80" t="s">
        <v>226</v>
      </c>
      <c r="G82" s="81" t="s">
        <v>1126</v>
      </c>
      <c r="I82" s="84"/>
    </row>
    <row r="83" spans="2:9" ht="17" customHeight="1">
      <c r="B83" s="269"/>
      <c r="C83" s="81" t="s">
        <v>227</v>
      </c>
      <c r="D83" s="81">
        <v>72.998999999999995</v>
      </c>
      <c r="E83" s="81" t="s">
        <v>225</v>
      </c>
      <c r="F83" s="80" t="s">
        <v>228</v>
      </c>
      <c r="G83" s="81" t="s">
        <v>1126</v>
      </c>
      <c r="I83" s="84"/>
    </row>
    <row r="84" spans="2:9" ht="17">
      <c r="B84" s="269"/>
      <c r="C84" s="81" t="s">
        <v>229</v>
      </c>
      <c r="D84" s="81">
        <v>0</v>
      </c>
      <c r="E84" s="81" t="s">
        <v>225</v>
      </c>
      <c r="F84" s="80" t="s">
        <v>230</v>
      </c>
      <c r="G84" s="81" t="s">
        <v>1126</v>
      </c>
      <c r="I84" s="84"/>
    </row>
    <row r="85" spans="2:9" ht="17">
      <c r="B85" s="269"/>
      <c r="C85" s="81" t="s">
        <v>231</v>
      </c>
      <c r="D85" s="81">
        <v>48.894500000000001</v>
      </c>
      <c r="E85" s="81" t="s">
        <v>225</v>
      </c>
      <c r="F85" s="80" t="s">
        <v>232</v>
      </c>
      <c r="G85" s="81" t="s">
        <v>1126</v>
      </c>
      <c r="I85" s="84"/>
    </row>
    <row r="86" spans="2:9" ht="17">
      <c r="B86" s="269"/>
      <c r="C86" s="81" t="s">
        <v>233</v>
      </c>
      <c r="D86" s="81">
        <v>17.308900000000001</v>
      </c>
      <c r="E86" s="81" t="s">
        <v>225</v>
      </c>
      <c r="F86" s="80" t="s">
        <v>234</v>
      </c>
      <c r="G86" s="81" t="s">
        <v>1126</v>
      </c>
      <c r="I86" s="84"/>
    </row>
    <row r="87" spans="2:9" ht="17">
      <c r="B87" s="269"/>
      <c r="C87" s="81" t="s">
        <v>235</v>
      </c>
      <c r="D87" s="81">
        <f>2644/1000</f>
        <v>2.6440000000000001</v>
      </c>
      <c r="E87" s="81" t="s">
        <v>236</v>
      </c>
      <c r="F87" s="80" t="s">
        <v>237</v>
      </c>
      <c r="G87" s="81" t="s">
        <v>1126</v>
      </c>
      <c r="I87" s="84"/>
    </row>
    <row r="88" spans="2:9" ht="17">
      <c r="B88" s="269"/>
      <c r="C88" s="81" t="s">
        <v>238</v>
      </c>
      <c r="D88" s="81">
        <f>7691/1000</f>
        <v>7.6909999999999998</v>
      </c>
      <c r="E88" s="81" t="s">
        <v>236</v>
      </c>
      <c r="F88" s="80" t="s">
        <v>239</v>
      </c>
      <c r="G88" s="81" t="s">
        <v>1126</v>
      </c>
      <c r="I88" s="84"/>
    </row>
    <row r="89" spans="2:9" ht="17">
      <c r="B89" s="269"/>
      <c r="C89" s="81" t="s">
        <v>240</v>
      </c>
      <c r="D89" s="81">
        <f>31248/1000</f>
        <v>31.248000000000001</v>
      </c>
      <c r="E89" s="81" t="s">
        <v>236</v>
      </c>
      <c r="F89" s="80" t="s">
        <v>241</v>
      </c>
      <c r="G89" s="81" t="s">
        <v>1126</v>
      </c>
      <c r="I89" s="84"/>
    </row>
    <row r="90" spans="2:9" ht="34">
      <c r="B90" s="269"/>
      <c r="C90" s="81" t="s">
        <v>242</v>
      </c>
      <c r="D90" s="81">
        <f>6009/1000</f>
        <v>6.0090000000000003</v>
      </c>
      <c r="F90" s="80" t="s">
        <v>243</v>
      </c>
      <c r="G90" s="81" t="s">
        <v>1126</v>
      </c>
      <c r="I90" s="84"/>
    </row>
    <row r="91" spans="2:9" ht="34">
      <c r="B91" s="269"/>
      <c r="C91" s="81" t="s">
        <v>244</v>
      </c>
      <c r="D91" s="81">
        <f>0.1/1000</f>
        <v>1E-4</v>
      </c>
      <c r="E91" s="81" t="s">
        <v>245</v>
      </c>
      <c r="F91" s="80" t="s">
        <v>246</v>
      </c>
      <c r="G91" s="81" t="s">
        <v>1126</v>
      </c>
      <c r="I91" s="84"/>
    </row>
    <row r="92" spans="2:9" ht="34">
      <c r="B92" s="269"/>
      <c r="C92" s="81" t="s">
        <v>247</v>
      </c>
      <c r="D92" s="81">
        <v>0</v>
      </c>
      <c r="E92" s="81" t="s">
        <v>245</v>
      </c>
      <c r="F92" s="80" t="s">
        <v>248</v>
      </c>
      <c r="G92" s="81" t="s">
        <v>1126</v>
      </c>
      <c r="I92" s="84"/>
    </row>
    <row r="93" spans="2:9" ht="34">
      <c r="B93" s="269"/>
      <c r="C93" s="81" t="s">
        <v>249</v>
      </c>
      <c r="D93" s="81">
        <f>2.7/1000</f>
        <v>2.7000000000000001E-3</v>
      </c>
      <c r="E93" s="81" t="s">
        <v>245</v>
      </c>
      <c r="F93" s="80" t="s">
        <v>250</v>
      </c>
      <c r="G93" s="81" t="s">
        <v>1126</v>
      </c>
      <c r="I93" s="84"/>
    </row>
    <row r="94" spans="2:9" ht="51">
      <c r="B94" s="269"/>
      <c r="C94" s="81" t="s">
        <v>251</v>
      </c>
      <c r="D94" s="81">
        <v>0</v>
      </c>
      <c r="E94" s="81" t="s">
        <v>252</v>
      </c>
      <c r="F94" s="80" t="s">
        <v>253</v>
      </c>
      <c r="G94" s="81" t="s">
        <v>1126</v>
      </c>
      <c r="I94" s="84"/>
    </row>
    <row r="95" spans="2:9" ht="34">
      <c r="B95" s="269"/>
      <c r="C95" s="81" t="s">
        <v>254</v>
      </c>
      <c r="D95" s="81">
        <v>0.95</v>
      </c>
      <c r="E95" s="81" t="s">
        <v>255</v>
      </c>
      <c r="F95" s="80" t="s">
        <v>256</v>
      </c>
      <c r="G95" s="81" t="s">
        <v>1126</v>
      </c>
      <c r="I95" s="84"/>
    </row>
    <row r="96" spans="2:9" ht="34">
      <c r="B96" s="269"/>
      <c r="C96" s="81" t="s">
        <v>257</v>
      </c>
      <c r="D96" s="81">
        <v>0.95</v>
      </c>
      <c r="E96" s="81" t="s">
        <v>258</v>
      </c>
      <c r="F96" s="80" t="s">
        <v>259</v>
      </c>
      <c r="G96" s="81" t="s">
        <v>1126</v>
      </c>
      <c r="I96" s="84"/>
    </row>
    <row r="97" spans="2:12" ht="17">
      <c r="B97" s="269"/>
      <c r="C97" s="81" t="s">
        <v>260</v>
      </c>
      <c r="D97" s="81">
        <v>0.97</v>
      </c>
      <c r="E97" s="81" t="s">
        <v>261</v>
      </c>
      <c r="F97" s="80" t="s">
        <v>262</v>
      </c>
      <c r="G97" s="81" t="s">
        <v>263</v>
      </c>
      <c r="H97" s="81"/>
      <c r="I97" s="84"/>
    </row>
    <row r="98" spans="2:12" ht="34">
      <c r="B98" s="269"/>
      <c r="C98" s="81" t="s">
        <v>264</v>
      </c>
      <c r="D98" s="81">
        <v>0</v>
      </c>
      <c r="E98" s="81" t="s">
        <v>265</v>
      </c>
      <c r="F98" s="80" t="s">
        <v>1134</v>
      </c>
      <c r="I98" s="84"/>
    </row>
    <row r="99" spans="2:12" ht="17">
      <c r="B99" s="269"/>
      <c r="C99" s="81" t="s">
        <v>266</v>
      </c>
      <c r="D99" s="81">
        <v>1</v>
      </c>
      <c r="F99" s="80" t="s">
        <v>267</v>
      </c>
      <c r="I99" s="84"/>
    </row>
    <row r="100" spans="2:12" ht="17">
      <c r="B100" s="269"/>
      <c r="C100" s="81" t="s">
        <v>268</v>
      </c>
      <c r="D100" s="81">
        <v>0</v>
      </c>
      <c r="E100" s="81" t="s">
        <v>269</v>
      </c>
      <c r="F100" s="80" t="s">
        <v>270</v>
      </c>
      <c r="I100" s="84"/>
    </row>
    <row r="101" spans="2:12" ht="34">
      <c r="B101" s="269"/>
      <c r="C101" s="81" t="s">
        <v>271</v>
      </c>
      <c r="D101" s="81">
        <v>0</v>
      </c>
      <c r="E101" s="81" t="s">
        <v>269</v>
      </c>
      <c r="F101" s="80" t="s">
        <v>272</v>
      </c>
      <c r="I101" s="84"/>
    </row>
    <row r="102" spans="2:12" ht="17">
      <c r="B102" s="269"/>
      <c r="C102" s="81" t="s">
        <v>273</v>
      </c>
      <c r="D102" s="81">
        <v>0</v>
      </c>
      <c r="E102" s="81" t="s">
        <v>269</v>
      </c>
      <c r="F102" s="80" t="s">
        <v>274</v>
      </c>
      <c r="I102" s="84"/>
    </row>
    <row r="103" spans="2:12" ht="18" thickBot="1">
      <c r="B103" s="270"/>
      <c r="C103" s="88" t="s">
        <v>275</v>
      </c>
      <c r="D103" s="88">
        <v>500</v>
      </c>
      <c r="E103" s="88" t="s">
        <v>59</v>
      </c>
      <c r="F103" s="89" t="s">
        <v>276</v>
      </c>
      <c r="G103" s="88"/>
      <c r="H103" s="89"/>
      <c r="I103" s="90"/>
    </row>
    <row r="105" spans="2:12" ht="34">
      <c r="E105" s="81" t="s">
        <v>1073</v>
      </c>
      <c r="F105" s="80" t="s">
        <v>1074</v>
      </c>
      <c r="G105" s="81" t="s">
        <v>1075</v>
      </c>
      <c r="H105" s="80" t="s">
        <v>1083</v>
      </c>
      <c r="I105" s="80" t="s">
        <v>1077</v>
      </c>
    </row>
    <row r="106" spans="2:12" ht="17">
      <c r="C106" s="81" t="s">
        <v>1069</v>
      </c>
      <c r="D106" s="312">
        <v>4579.8816539999998</v>
      </c>
      <c r="E106" s="81">
        <f>D106*D83</f>
        <v>334326.78086034599</v>
      </c>
      <c r="F106" s="80">
        <f>D106*D88</f>
        <v>35223.869800913999</v>
      </c>
      <c r="G106" s="313">
        <v>4244792</v>
      </c>
      <c r="H106" s="315">
        <f>G106*D93</f>
        <v>11460.938400000001</v>
      </c>
      <c r="I106" s="316">
        <f>(E106+F106+H106)/G106</f>
        <v>8.975977834986025E-2</v>
      </c>
      <c r="J106" t="s">
        <v>544</v>
      </c>
      <c r="K106" t="s">
        <v>1078</v>
      </c>
    </row>
    <row r="107" spans="2:12" ht="17">
      <c r="C107" s="81" t="s">
        <v>1070</v>
      </c>
      <c r="D107" s="312">
        <v>14263.034452</v>
      </c>
      <c r="E107" s="81">
        <f>D82*D107</f>
        <v>660877.70133342</v>
      </c>
      <c r="F107" s="80">
        <f>D107*D87</f>
        <v>37711.463091088001</v>
      </c>
      <c r="G107" s="313">
        <v>19524730</v>
      </c>
      <c r="H107" s="315">
        <f>G107*D92</f>
        <v>0</v>
      </c>
      <c r="I107" s="316">
        <f>(E107+F107+H107)/G107</f>
        <v>3.5779709344226938E-2</v>
      </c>
      <c r="J107" t="s">
        <v>544</v>
      </c>
      <c r="K107" t="s">
        <v>1079</v>
      </c>
    </row>
    <row r="108" spans="2:12" ht="17">
      <c r="C108" s="81" t="s">
        <v>1071</v>
      </c>
      <c r="D108" s="312">
        <v>4171.3192630000003</v>
      </c>
      <c r="E108" s="81">
        <f>D108*D85</f>
        <v>203954.56970475352</v>
      </c>
      <c r="F108" s="80">
        <f>D108*D90</f>
        <v>25065.457451367005</v>
      </c>
      <c r="G108" s="314"/>
    </row>
    <row r="109" spans="2:12" ht="17">
      <c r="C109" s="81" t="s">
        <v>1072</v>
      </c>
      <c r="D109" s="312">
        <v>36121.537164000001</v>
      </c>
      <c r="E109" s="81">
        <f>D109*D86</f>
        <v>625224.07461795968</v>
      </c>
      <c r="G109" s="314"/>
    </row>
    <row r="110" spans="2:12" ht="17">
      <c r="C110" s="81" t="s">
        <v>1076</v>
      </c>
      <c r="D110" s="312">
        <v>500</v>
      </c>
      <c r="F110" s="80">
        <f>500*D89</f>
        <v>15624</v>
      </c>
      <c r="G110" s="81">
        <f>D110*8736*0.8</f>
        <v>3494400</v>
      </c>
      <c r="H110" s="80">
        <f>G110*(D25+D24)</f>
        <v>506112.50146908476</v>
      </c>
      <c r="I110" s="316">
        <f>(F110+H110)/G110</f>
        <v>0.14930646218781043</v>
      </c>
      <c r="J110" t="s">
        <v>544</v>
      </c>
      <c r="K110" t="s">
        <v>1080</v>
      </c>
    </row>
    <row r="111" spans="2:12" ht="34">
      <c r="G111" s="312">
        <v>180540.22231000001</v>
      </c>
      <c r="H111" s="80">
        <f>G111*(D25+D24)</f>
        <v>26148.598766340081</v>
      </c>
      <c r="I111" s="316">
        <f>(F110+H111)/G111</f>
        <v>0.23137558064270936</v>
      </c>
      <c r="J111" t="s">
        <v>544</v>
      </c>
      <c r="K111" t="s">
        <v>1081</v>
      </c>
      <c r="L111" t="s">
        <v>1082</v>
      </c>
    </row>
    <row r="113" spans="3:11" ht="17">
      <c r="C113" s="81">
        <f>(D25+D24)</f>
        <v>0.14483530834165659</v>
      </c>
      <c r="D113" s="81" t="s">
        <v>1106</v>
      </c>
    </row>
    <row r="114" spans="3:11" ht="51">
      <c r="I114" s="323">
        <f>(H110/4 +F110)/G110</f>
        <v>4.0679980931567994E-2</v>
      </c>
      <c r="J114" t="s">
        <v>544</v>
      </c>
      <c r="K114" t="s">
        <v>1105</v>
      </c>
    </row>
  </sheetData>
  <mergeCells count="13">
    <mergeCell ref="B4:B7"/>
    <mergeCell ref="B81:B103"/>
    <mergeCell ref="B79:B80"/>
    <mergeCell ref="B49:B56"/>
    <mergeCell ref="B57:B58"/>
    <mergeCell ref="B59:B68"/>
    <mergeCell ref="B69:B76"/>
    <mergeCell ref="B77:B78"/>
    <mergeCell ref="B8:B13"/>
    <mergeCell ref="B14:B28"/>
    <mergeCell ref="B29:B31"/>
    <mergeCell ref="B32:B34"/>
    <mergeCell ref="B35:B48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1D05-45D1-1F46-AA6F-DBAAAEF5E296}">
  <dimension ref="B1:L12"/>
  <sheetViews>
    <sheetView workbookViewId="0">
      <selection activeCell="M8" sqref="M8"/>
    </sheetView>
  </sheetViews>
  <sheetFormatPr baseColWidth="10" defaultColWidth="11" defaultRowHeight="16"/>
  <cols>
    <col min="2" max="2" width="18.6640625" customWidth="1"/>
    <col min="10" max="10" width="13.6640625" customWidth="1"/>
  </cols>
  <sheetData>
    <row r="1" spans="2:12" ht="17" thickBot="1"/>
    <row r="2" spans="2:12" ht="64" customHeight="1" thickBot="1">
      <c r="B2" s="424" t="s">
        <v>4</v>
      </c>
      <c r="C2" s="425" t="s">
        <v>718</v>
      </c>
      <c r="D2" s="425" t="s">
        <v>719</v>
      </c>
      <c r="E2" s="425" t="s">
        <v>720</v>
      </c>
      <c r="F2" s="425" t="s">
        <v>3</v>
      </c>
      <c r="G2" s="426" t="s">
        <v>311</v>
      </c>
      <c r="I2" s="168" t="s">
        <v>721</v>
      </c>
      <c r="J2" s="169" t="s">
        <v>722</v>
      </c>
      <c r="K2" s="170" t="s">
        <v>723</v>
      </c>
      <c r="L2" s="159" t="s">
        <v>311</v>
      </c>
    </row>
    <row r="3" spans="2:12" ht="34">
      <c r="B3" s="39" t="s">
        <v>724</v>
      </c>
      <c r="C3" s="40">
        <v>16.7</v>
      </c>
      <c r="D3" s="40">
        <v>22.5</v>
      </c>
      <c r="E3" s="40">
        <v>25</v>
      </c>
      <c r="F3" s="40" t="s">
        <v>87</v>
      </c>
      <c r="G3" s="41" t="s">
        <v>1126</v>
      </c>
      <c r="I3" s="5" t="s">
        <v>725</v>
      </c>
      <c r="J3" s="103">
        <v>121400</v>
      </c>
      <c r="K3" s="6" t="s">
        <v>451</v>
      </c>
      <c r="L3" s="6">
        <v>32</v>
      </c>
    </row>
    <row r="4" spans="2:12" ht="35" thickBot="1">
      <c r="B4" s="5" t="s">
        <v>726</v>
      </c>
      <c r="C4" s="346">
        <v>6000</v>
      </c>
      <c r="D4" s="346">
        <v>8000</v>
      </c>
      <c r="E4" s="346">
        <v>20000</v>
      </c>
      <c r="F4" s="346" t="s">
        <v>727</v>
      </c>
      <c r="G4" s="6" t="s">
        <v>1126</v>
      </c>
      <c r="I4" s="2" t="s">
        <v>728</v>
      </c>
      <c r="J4" s="164">
        <v>82.3723229</v>
      </c>
      <c r="K4" s="4" t="s">
        <v>729</v>
      </c>
      <c r="L4" s="4">
        <v>32</v>
      </c>
    </row>
    <row r="5" spans="2:12" ht="17">
      <c r="B5" s="5" t="s">
        <v>730</v>
      </c>
      <c r="C5" s="346">
        <v>95</v>
      </c>
      <c r="D5" s="346">
        <v>96</v>
      </c>
      <c r="E5" s="346">
        <v>97</v>
      </c>
      <c r="F5" s="346" t="s">
        <v>701</v>
      </c>
      <c r="G5" s="6" t="s">
        <v>1126</v>
      </c>
    </row>
    <row r="6" spans="2:12" ht="17">
      <c r="B6" s="5" t="s">
        <v>731</v>
      </c>
      <c r="C6" s="346">
        <v>92</v>
      </c>
      <c r="D6" s="346">
        <v>95</v>
      </c>
      <c r="E6" s="346">
        <v>99</v>
      </c>
      <c r="F6" s="346" t="s">
        <v>701</v>
      </c>
      <c r="G6" s="6" t="s">
        <v>1126</v>
      </c>
    </row>
    <row r="7" spans="2:12" ht="17">
      <c r="B7" s="5" t="s">
        <v>732</v>
      </c>
      <c r="C7" s="346">
        <v>2</v>
      </c>
      <c r="D7" s="346">
        <v>4</v>
      </c>
      <c r="E7" s="346">
        <v>10</v>
      </c>
      <c r="F7" s="346" t="s">
        <v>32</v>
      </c>
      <c r="G7" s="6" t="s">
        <v>1126</v>
      </c>
    </row>
    <row r="8" spans="2:12" ht="17">
      <c r="B8" s="5" t="s">
        <v>733</v>
      </c>
      <c r="C8" s="346">
        <f>2.38*J3</f>
        <v>288932</v>
      </c>
      <c r="D8" s="346">
        <f>1.37*J3</f>
        <v>166318</v>
      </c>
      <c r="E8" s="346">
        <f>1.09*J3</f>
        <v>132326</v>
      </c>
      <c r="F8" s="346" t="s">
        <v>734</v>
      </c>
      <c r="G8" s="6" t="s">
        <v>1126</v>
      </c>
    </row>
    <row r="9" spans="2:12" ht="17">
      <c r="B9" s="5" t="s">
        <v>735</v>
      </c>
      <c r="C9" s="346">
        <f>6.73*J3</f>
        <v>817022</v>
      </c>
      <c r="D9" s="346">
        <f>3.87*J3</f>
        <v>469818</v>
      </c>
      <c r="E9" s="346">
        <f>3.09*J3</f>
        <v>375126</v>
      </c>
      <c r="F9" s="346" t="s">
        <v>736</v>
      </c>
      <c r="G9" s="6" t="s">
        <v>1126</v>
      </c>
    </row>
    <row r="10" spans="2:12" ht="34">
      <c r="B10" s="5" t="s">
        <v>737</v>
      </c>
      <c r="C10" s="346">
        <f>0.08*J3</f>
        <v>9712</v>
      </c>
      <c r="D10" s="346">
        <f>0.05*J3</f>
        <v>6070</v>
      </c>
      <c r="E10" s="346">
        <v>0.04</v>
      </c>
      <c r="F10" s="346" t="s">
        <v>738</v>
      </c>
      <c r="G10" s="6" t="s">
        <v>1126</v>
      </c>
    </row>
    <row r="11" spans="2:12" ht="18" thickBot="1">
      <c r="B11" s="2" t="s">
        <v>739</v>
      </c>
      <c r="C11" s="158">
        <f>500000/J4</f>
        <v>6069.9999999635802</v>
      </c>
      <c r="D11" s="3"/>
      <c r="E11" s="3"/>
      <c r="F11" s="3" t="s">
        <v>11</v>
      </c>
      <c r="G11" s="4" t="s">
        <v>1126</v>
      </c>
    </row>
    <row r="12" spans="2:12">
      <c r="B12" s="16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FA70-AD5E-5D46-BA59-05395BA4A783}">
  <dimension ref="B1:G16"/>
  <sheetViews>
    <sheetView topLeftCell="A5" workbookViewId="0">
      <selection activeCell="G15" sqref="G15"/>
    </sheetView>
  </sheetViews>
  <sheetFormatPr baseColWidth="10" defaultColWidth="11" defaultRowHeight="16"/>
  <cols>
    <col min="1" max="1" width="3.5" customWidth="1"/>
    <col min="3" max="3" width="15.6640625" customWidth="1"/>
    <col min="5" max="5" width="17.1640625" customWidth="1"/>
    <col min="7" max="7" width="48.6640625" customWidth="1"/>
  </cols>
  <sheetData>
    <row r="1" spans="2:7" ht="17" thickBot="1"/>
    <row r="2" spans="2:7" ht="21" thickBot="1">
      <c r="B2" s="427"/>
      <c r="C2" s="428" t="s">
        <v>4</v>
      </c>
      <c r="D2" s="428" t="s">
        <v>2</v>
      </c>
      <c r="E2" s="428" t="s">
        <v>3</v>
      </c>
      <c r="F2" s="429" t="s">
        <v>311</v>
      </c>
      <c r="G2" s="157"/>
    </row>
    <row r="3" spans="2:7" ht="73" customHeight="1">
      <c r="B3" s="5" t="s">
        <v>740</v>
      </c>
      <c r="C3" s="346" t="s">
        <v>741</v>
      </c>
      <c r="D3" s="346">
        <v>7.11</v>
      </c>
      <c r="E3" s="346" t="s">
        <v>742</v>
      </c>
      <c r="F3" s="6" t="s">
        <v>198</v>
      </c>
      <c r="G3" s="1"/>
    </row>
    <row r="4" spans="2:7" ht="34">
      <c r="B4" s="5" t="s">
        <v>740</v>
      </c>
      <c r="C4" s="346" t="s">
        <v>743</v>
      </c>
      <c r="D4" s="346">
        <v>24.14</v>
      </c>
      <c r="E4" s="346" t="s">
        <v>742</v>
      </c>
      <c r="F4" s="6" t="s">
        <v>198</v>
      </c>
    </row>
    <row r="5" spans="2:7" ht="17">
      <c r="B5" s="5" t="s">
        <v>740</v>
      </c>
      <c r="C5" s="346" t="s">
        <v>744</v>
      </c>
      <c r="D5" s="346">
        <v>3.9</v>
      </c>
      <c r="E5" s="346" t="s">
        <v>742</v>
      </c>
      <c r="F5" s="6" t="s">
        <v>198</v>
      </c>
    </row>
    <row r="6" spans="2:7" ht="68">
      <c r="B6" s="5" t="s">
        <v>740</v>
      </c>
      <c r="C6" s="346" t="s">
        <v>745</v>
      </c>
      <c r="D6" s="346">
        <v>0.09</v>
      </c>
      <c r="E6" s="346" t="s">
        <v>742</v>
      </c>
      <c r="F6" s="6" t="s">
        <v>198</v>
      </c>
    </row>
    <row r="7" spans="2:7" ht="17">
      <c r="B7" s="5" t="s">
        <v>740</v>
      </c>
      <c r="C7" s="346" t="s">
        <v>746</v>
      </c>
      <c r="D7" s="346">
        <v>4.05</v>
      </c>
      <c r="E7" s="346" t="s">
        <v>742</v>
      </c>
      <c r="F7" s="6" t="s">
        <v>198</v>
      </c>
    </row>
    <row r="8" spans="2:7" ht="34">
      <c r="B8" s="5" t="s">
        <v>740</v>
      </c>
      <c r="C8" s="346" t="s">
        <v>747</v>
      </c>
      <c r="D8" s="346">
        <v>15.72</v>
      </c>
      <c r="E8" s="346" t="s">
        <v>742</v>
      </c>
      <c r="F8" s="6" t="s">
        <v>198</v>
      </c>
    </row>
    <row r="9" spans="2:7" ht="34">
      <c r="B9" s="5" t="s">
        <v>740</v>
      </c>
      <c r="C9" s="346" t="s">
        <v>748</v>
      </c>
      <c r="D9" s="346">
        <v>3.1</v>
      </c>
      <c r="E9" s="346" t="s">
        <v>742</v>
      </c>
      <c r="F9" s="6" t="s">
        <v>198</v>
      </c>
    </row>
    <row r="10" spans="2:7" ht="17">
      <c r="B10" s="5" t="s">
        <v>749</v>
      </c>
      <c r="C10" s="346" t="s">
        <v>750</v>
      </c>
      <c r="D10" s="346">
        <v>65.650000000000006</v>
      </c>
      <c r="E10" s="346" t="s">
        <v>742</v>
      </c>
      <c r="F10" s="6" t="s">
        <v>198</v>
      </c>
    </row>
    <row r="11" spans="2:7" ht="17">
      <c r="B11" s="5" t="s">
        <v>749</v>
      </c>
      <c r="C11" s="346" t="s">
        <v>751</v>
      </c>
      <c r="D11" s="346">
        <v>9.07</v>
      </c>
      <c r="E11" s="346" t="s">
        <v>742</v>
      </c>
      <c r="F11" s="6" t="s">
        <v>198</v>
      </c>
    </row>
    <row r="12" spans="2:7" ht="51">
      <c r="B12" s="5" t="s">
        <v>749</v>
      </c>
      <c r="C12" s="346" t="s">
        <v>752</v>
      </c>
      <c r="D12" s="346">
        <v>16.399999999999999</v>
      </c>
      <c r="E12" s="346" t="s">
        <v>742</v>
      </c>
      <c r="F12" s="6" t="s">
        <v>198</v>
      </c>
    </row>
    <row r="13" spans="2:7" ht="17">
      <c r="B13" s="5" t="s">
        <v>749</v>
      </c>
      <c r="C13" s="346" t="s">
        <v>753</v>
      </c>
      <c r="D13" s="346">
        <v>15.72</v>
      </c>
      <c r="E13" s="346" t="s">
        <v>742</v>
      </c>
      <c r="F13" s="6" t="s">
        <v>198</v>
      </c>
    </row>
    <row r="14" spans="2:7" ht="52" thickBot="1">
      <c r="B14" s="5" t="s">
        <v>749</v>
      </c>
      <c r="C14" s="346" t="s">
        <v>754</v>
      </c>
      <c r="D14" s="346">
        <v>15.96</v>
      </c>
      <c r="E14" s="346" t="s">
        <v>742</v>
      </c>
      <c r="F14" s="6" t="s">
        <v>198</v>
      </c>
    </row>
    <row r="15" spans="2:7" ht="35" thickBot="1">
      <c r="B15" s="165"/>
      <c r="C15" s="166" t="s">
        <v>755</v>
      </c>
      <c r="D15" s="166">
        <f>SUM(D3:D9)</f>
        <v>58.11</v>
      </c>
      <c r="E15" s="166" t="s">
        <v>742</v>
      </c>
      <c r="F15" s="167">
        <v>30</v>
      </c>
    </row>
    <row r="16" spans="2:7" ht="17" thickBot="1">
      <c r="B16" s="2"/>
      <c r="C16" s="3"/>
      <c r="D16" s="3">
        <f>SUM(D11:D14)</f>
        <v>57.15</v>
      </c>
      <c r="E16" s="3"/>
      <c r="F16" s="4"/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7A67-06D5-B144-9320-0C5698D7B78B}">
  <dimension ref="A1:Q25"/>
  <sheetViews>
    <sheetView zoomScale="81" zoomScaleNormal="81" workbookViewId="0">
      <selection activeCell="G4" sqref="G4"/>
    </sheetView>
  </sheetViews>
  <sheetFormatPr baseColWidth="10" defaultColWidth="11" defaultRowHeight="16"/>
  <cols>
    <col min="1" max="1" width="18.33203125" customWidth="1"/>
    <col min="2" max="2" width="16.6640625" customWidth="1"/>
    <col min="3" max="4" width="17" customWidth="1"/>
    <col min="6" max="6" width="11.6640625" bestFit="1" customWidth="1"/>
    <col min="10" max="10" width="17.1640625" customWidth="1"/>
    <col min="12" max="12" width="17.5" customWidth="1"/>
    <col min="13" max="13" width="18.83203125" customWidth="1"/>
    <col min="20" max="20" width="14.5" customWidth="1"/>
    <col min="22" max="22" width="14.33203125" customWidth="1"/>
  </cols>
  <sheetData>
    <row r="1" spans="1:17" ht="17" thickBot="1"/>
    <row r="2" spans="1:17" ht="44">
      <c r="A2" s="161" t="s">
        <v>1</v>
      </c>
      <c r="B2" s="162" t="s">
        <v>3</v>
      </c>
      <c r="C2" s="162" t="s">
        <v>4</v>
      </c>
      <c r="D2" s="162" t="s">
        <v>756</v>
      </c>
      <c r="E2" s="162" t="s">
        <v>757</v>
      </c>
      <c r="F2" s="162" t="s">
        <v>758</v>
      </c>
      <c r="G2" s="162" t="s">
        <v>759</v>
      </c>
      <c r="H2" s="162" t="s">
        <v>760</v>
      </c>
      <c r="I2" s="162" t="s">
        <v>761</v>
      </c>
      <c r="J2" s="162" t="s">
        <v>762</v>
      </c>
      <c r="K2" s="162" t="s">
        <v>763</v>
      </c>
      <c r="L2" s="162" t="s">
        <v>764</v>
      </c>
      <c r="M2" s="163" t="s">
        <v>765</v>
      </c>
      <c r="N2" s="436" t="s">
        <v>766</v>
      </c>
    </row>
    <row r="3" spans="1:17" ht="51">
      <c r="A3" s="5" t="s">
        <v>523</v>
      </c>
      <c r="B3" s="346" t="s">
        <v>59</v>
      </c>
      <c r="C3" s="346" t="s">
        <v>767</v>
      </c>
      <c r="D3" s="346">
        <v>685</v>
      </c>
      <c r="E3" s="346">
        <v>600</v>
      </c>
      <c r="F3" s="346">
        <v>650</v>
      </c>
      <c r="G3" s="346">
        <v>446.3</v>
      </c>
      <c r="H3" s="346">
        <v>251.3</v>
      </c>
      <c r="I3" s="346">
        <v>198.5</v>
      </c>
      <c r="J3" s="346">
        <v>166.2</v>
      </c>
      <c r="K3" s="346">
        <v>104.3</v>
      </c>
      <c r="L3" s="346">
        <v>93.2</v>
      </c>
      <c r="M3" s="6">
        <v>90.2</v>
      </c>
      <c r="N3" s="44">
        <v>500</v>
      </c>
    </row>
    <row r="4" spans="1:17" ht="119">
      <c r="A4" s="5" t="s">
        <v>173</v>
      </c>
      <c r="B4" s="346" t="s">
        <v>47</v>
      </c>
      <c r="C4" s="346" t="s">
        <v>768</v>
      </c>
      <c r="D4" s="346">
        <v>0.48</v>
      </c>
      <c r="E4" s="346">
        <v>0.46300000000000002</v>
      </c>
      <c r="F4" s="346">
        <v>0.46300000000000002</v>
      </c>
      <c r="G4" s="346">
        <v>0.40799999999999997</v>
      </c>
      <c r="H4" s="346">
        <v>0.38400000000000001</v>
      </c>
      <c r="I4" s="346">
        <v>0.38800000000000001</v>
      </c>
      <c r="J4" s="346">
        <v>0.36299999999999999</v>
      </c>
      <c r="K4" s="346">
        <v>0.377</v>
      </c>
      <c r="L4" s="346">
        <v>0.36799999999999999</v>
      </c>
      <c r="M4" s="6">
        <v>0.35599999999999998</v>
      </c>
      <c r="N4" s="44"/>
      <c r="Q4" s="148"/>
    </row>
    <row r="5" spans="1:17" ht="51">
      <c r="A5" s="5" t="s">
        <v>769</v>
      </c>
      <c r="B5" s="346" t="s">
        <v>59</v>
      </c>
      <c r="C5" s="346" t="s">
        <v>770</v>
      </c>
      <c r="D5" s="430">
        <f>'Calculations Aspen'!L43/100*D3</f>
        <v>2.6422852983988361</v>
      </c>
      <c r="E5" s="430">
        <f>'Calculations Aspen'!L43/100*E3</f>
        <v>2.3144104803493453</v>
      </c>
      <c r="F5" s="430">
        <f>'Calculations Aspen'!M43/100*F3</f>
        <v>2.5145985401459856</v>
      </c>
      <c r="G5" s="430">
        <f>'Calculations Aspen'!M43/100*G3</f>
        <v>1.7265620437956206</v>
      </c>
      <c r="H5" s="430">
        <f>'Calculations Aspen'!M43/100*H3</f>
        <v>0.97218248175182487</v>
      </c>
      <c r="I5" s="430">
        <f>'Calculations Aspen'!M43/100*I3</f>
        <v>0.76791970802919707</v>
      </c>
      <c r="J5" s="430">
        <f>'Calculations Aspen'!M43/100*J3</f>
        <v>0.64296350364963506</v>
      </c>
      <c r="K5" s="430">
        <f>'Calculations Aspen'!M43/100*K3</f>
        <v>0.40349635036496351</v>
      </c>
      <c r="L5" s="430">
        <f>'Calculations Aspen'!M43/100*L3</f>
        <v>0.36055474452554748</v>
      </c>
      <c r="M5" s="66">
        <f>'Calculations Aspen'!M43/100*M3</f>
        <v>0.34894890510948906</v>
      </c>
      <c r="N5" s="44"/>
      <c r="Q5" s="150"/>
    </row>
    <row r="6" spans="1:17" ht="51">
      <c r="A6" s="5" t="s">
        <v>771</v>
      </c>
      <c r="B6" s="346" t="s">
        <v>59</v>
      </c>
      <c r="C6" s="346" t="s">
        <v>772</v>
      </c>
      <c r="D6" s="346">
        <v>35</v>
      </c>
      <c r="E6" s="346">
        <f>0.04*E3</f>
        <v>24</v>
      </c>
      <c r="F6" s="346">
        <v>26.7</v>
      </c>
      <c r="G6" s="430">
        <f>7.84/100*G3</f>
        <v>34.989919999999998</v>
      </c>
      <c r="H6" s="430">
        <f>9.44/100*H3</f>
        <v>23.722719999999999</v>
      </c>
      <c r="I6" s="430">
        <f>9.57/100*I3</f>
        <v>18.996450000000003</v>
      </c>
      <c r="J6" s="430">
        <f>10.24/100*J3</f>
        <v>17.018879999999999</v>
      </c>
      <c r="K6" s="430">
        <f>12.83/100*K3</f>
        <v>13.381689999999999</v>
      </c>
      <c r="L6" s="430">
        <f>12.21/100*L3</f>
        <v>11.379720000000002</v>
      </c>
      <c r="M6" s="66">
        <f>13.1/100*M3</f>
        <v>11.8162</v>
      </c>
      <c r="N6" s="44"/>
    </row>
    <row r="7" spans="1:17" ht="34">
      <c r="A7" s="5" t="s">
        <v>773</v>
      </c>
      <c r="B7" s="346" t="s">
        <v>559</v>
      </c>
      <c r="C7" s="346" t="s">
        <v>774</v>
      </c>
      <c r="D7" s="346">
        <v>510</v>
      </c>
      <c r="E7" s="346">
        <v>440</v>
      </c>
      <c r="F7" s="346">
        <v>480</v>
      </c>
      <c r="G7" s="431">
        <f>'Calculations Aspen'!X7</f>
        <v>370.22222222222223</v>
      </c>
      <c r="H7" s="346">
        <f>216.83</f>
        <v>216.83</v>
      </c>
      <c r="I7" s="346">
        <f>174.06</f>
        <v>174.06</v>
      </c>
      <c r="J7" s="346">
        <f>150.53</f>
        <v>150.53</v>
      </c>
      <c r="K7" s="346">
        <v>89.94</v>
      </c>
      <c r="L7" s="346">
        <v>83.53</v>
      </c>
      <c r="M7" s="6">
        <v>81.47</v>
      </c>
      <c r="N7" s="44"/>
    </row>
    <row r="8" spans="1:17" ht="34">
      <c r="A8" s="5" t="s">
        <v>775</v>
      </c>
      <c r="B8" s="346" t="s">
        <v>776</v>
      </c>
      <c r="C8" s="346" t="s">
        <v>777</v>
      </c>
      <c r="D8" s="346">
        <v>242</v>
      </c>
      <c r="E8" s="346">
        <v>166.5</v>
      </c>
      <c r="F8" s="346">
        <v>166.5</v>
      </c>
      <c r="G8" s="346">
        <v>160</v>
      </c>
      <c r="H8" s="346">
        <v>148</v>
      </c>
      <c r="I8" s="346">
        <v>132</v>
      </c>
      <c r="J8" s="346">
        <v>107</v>
      </c>
      <c r="K8" s="346">
        <v>116</v>
      </c>
      <c r="L8" s="346">
        <v>107</v>
      </c>
      <c r="M8" s="6">
        <v>111</v>
      </c>
      <c r="N8" s="44"/>
    </row>
    <row r="9" spans="1:17" ht="34">
      <c r="A9" s="5" t="s">
        <v>778</v>
      </c>
      <c r="B9" s="346" t="s">
        <v>43</v>
      </c>
      <c r="C9" s="346" t="s">
        <v>779</v>
      </c>
      <c r="D9" s="346">
        <v>560</v>
      </c>
      <c r="E9" s="346">
        <v>560</v>
      </c>
      <c r="F9" s="346">
        <v>560</v>
      </c>
      <c r="G9" s="346">
        <v>539.20000000000005</v>
      </c>
      <c r="H9" s="346">
        <v>537</v>
      </c>
      <c r="I9" s="346">
        <v>535</v>
      </c>
      <c r="J9" s="346">
        <v>532.79999999999995</v>
      </c>
      <c r="K9" s="346">
        <v>523.79999999999995</v>
      </c>
      <c r="L9" s="346">
        <v>526.29999999999995</v>
      </c>
      <c r="M9" s="6">
        <v>532.1</v>
      </c>
      <c r="N9" s="44"/>
    </row>
    <row r="10" spans="1:17" ht="17">
      <c r="A10" s="5" t="s">
        <v>780</v>
      </c>
      <c r="B10" s="346"/>
      <c r="C10" s="346"/>
      <c r="D10" s="346" t="s">
        <v>73</v>
      </c>
      <c r="E10" s="346" t="s">
        <v>73</v>
      </c>
      <c r="F10" s="346" t="s">
        <v>73</v>
      </c>
      <c r="G10" s="346" t="s">
        <v>781</v>
      </c>
      <c r="H10" s="346" t="s">
        <v>781</v>
      </c>
      <c r="I10" s="346" t="s">
        <v>781</v>
      </c>
      <c r="J10" s="346" t="s">
        <v>781</v>
      </c>
      <c r="K10" s="346" t="s">
        <v>781</v>
      </c>
      <c r="L10" s="346" t="s">
        <v>781</v>
      </c>
      <c r="M10" s="6" t="s">
        <v>781</v>
      </c>
      <c r="N10" s="44"/>
    </row>
    <row r="11" spans="1:17">
      <c r="A11" s="5"/>
      <c r="B11" s="346"/>
      <c r="C11" s="346"/>
      <c r="D11" s="346"/>
      <c r="E11" s="346"/>
      <c r="F11" s="346"/>
      <c r="G11" s="346"/>
      <c r="H11" s="346"/>
      <c r="I11" s="346"/>
      <c r="J11" s="346"/>
      <c r="K11" s="346"/>
      <c r="L11" s="346"/>
      <c r="M11" s="6"/>
      <c r="N11" s="44"/>
    </row>
    <row r="12" spans="1:17">
      <c r="A12" s="5"/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M12" s="6"/>
      <c r="N12" s="44"/>
    </row>
    <row r="13" spans="1:17" ht="16" customHeight="1" thickBot="1">
      <c r="A13" s="2"/>
      <c r="B13" s="3"/>
      <c r="C13" s="3" t="s">
        <v>1152</v>
      </c>
      <c r="D13" s="25">
        <v>0.48</v>
      </c>
      <c r="E13" s="25">
        <v>0.46300000000000002</v>
      </c>
      <c r="F13" s="25">
        <v>0.46300000000000002</v>
      </c>
      <c r="G13" s="25">
        <v>0.4353476</v>
      </c>
      <c r="H13" s="25">
        <v>0.42930895000000002</v>
      </c>
      <c r="I13" s="25">
        <v>0.42479436999999998</v>
      </c>
      <c r="J13" s="25">
        <v>0.41939022999999997</v>
      </c>
      <c r="K13" s="25">
        <v>0.41890019000000001</v>
      </c>
      <c r="L13" s="25">
        <v>0.41699185999999999</v>
      </c>
      <c r="M13" s="26">
        <v>0.40231028000000002</v>
      </c>
      <c r="N13" s="42"/>
    </row>
    <row r="14" spans="1:17" ht="16" customHeight="1"/>
    <row r="15" spans="1:17" ht="16" customHeight="1" thickBot="1">
      <c r="B15" s="156"/>
      <c r="C15" s="81"/>
      <c r="D15" s="81"/>
      <c r="E15" s="81"/>
      <c r="F15" s="81"/>
      <c r="G15" s="81"/>
      <c r="H15" s="81"/>
      <c r="I15" s="81"/>
      <c r="J15" s="81"/>
      <c r="K15" s="94"/>
      <c r="L15" s="81"/>
      <c r="M15" s="94"/>
      <c r="N15" s="94"/>
      <c r="O15" s="81"/>
      <c r="P15" s="155"/>
    </row>
    <row r="16" spans="1:17" ht="35" customHeight="1">
      <c r="B16" s="156"/>
      <c r="C16" s="309" t="s">
        <v>782</v>
      </c>
      <c r="D16" s="309" t="s">
        <v>783</v>
      </c>
      <c r="E16" s="209" t="s">
        <v>784</v>
      </c>
      <c r="F16" s="213" t="s">
        <v>785</v>
      </c>
      <c r="G16" s="209" t="s">
        <v>786</v>
      </c>
      <c r="H16" s="309" t="s">
        <v>787</v>
      </c>
      <c r="I16" s="121"/>
      <c r="J16" s="121"/>
      <c r="K16" s="121"/>
      <c r="L16" s="121"/>
      <c r="M16" s="121"/>
      <c r="N16" s="121"/>
      <c r="O16" s="81"/>
      <c r="P16" s="155"/>
    </row>
    <row r="17" spans="2:16" ht="16" customHeight="1">
      <c r="B17" s="156"/>
      <c r="C17" s="310"/>
      <c r="D17" s="310"/>
      <c r="E17" s="211" t="s">
        <v>788</v>
      </c>
      <c r="F17" s="211" t="s">
        <v>788</v>
      </c>
      <c r="G17" s="214" t="s">
        <v>789</v>
      </c>
      <c r="H17" s="310"/>
      <c r="I17" s="81"/>
      <c r="J17" s="81"/>
      <c r="K17" s="94"/>
      <c r="L17" s="81"/>
      <c r="M17" s="94"/>
      <c r="N17" s="94"/>
      <c r="O17" s="81"/>
      <c r="P17" s="155"/>
    </row>
    <row r="18" spans="2:16" ht="16" customHeight="1" thickBot="1">
      <c r="B18" s="156"/>
      <c r="C18" s="311"/>
      <c r="D18" s="311"/>
      <c r="E18" s="212" t="s">
        <v>790</v>
      </c>
      <c r="F18" s="212" t="s">
        <v>790</v>
      </c>
      <c r="G18" s="210"/>
      <c r="H18" s="311"/>
      <c r="I18" s="81"/>
      <c r="J18" s="81"/>
      <c r="K18" s="94"/>
      <c r="L18" s="81"/>
      <c r="M18" s="94"/>
      <c r="N18" s="94"/>
      <c r="O18" s="81"/>
      <c r="P18" s="155"/>
    </row>
    <row r="19" spans="2:16" ht="16" customHeight="1" thickBot="1">
      <c r="B19" s="156"/>
      <c r="C19" s="215" t="s">
        <v>791</v>
      </c>
      <c r="D19" s="212">
        <v>8</v>
      </c>
      <c r="E19" s="216">
        <v>2134.4</v>
      </c>
      <c r="F19" s="216">
        <v>2356.3000000000002</v>
      </c>
      <c r="G19" s="212">
        <v>10.4</v>
      </c>
      <c r="H19" s="432" t="s">
        <v>792</v>
      </c>
      <c r="I19" s="433">
        <f>1/(F19/860.421)</f>
        <v>0.36515766243687137</v>
      </c>
      <c r="J19" s="217"/>
      <c r="K19" s="121"/>
      <c r="L19" s="121"/>
      <c r="M19" s="121"/>
      <c r="N19" s="121"/>
      <c r="O19" s="81"/>
      <c r="P19" s="155"/>
    </row>
    <row r="20" spans="2:16" ht="16" customHeight="1" thickBot="1">
      <c r="B20" s="156"/>
      <c r="C20" s="215" t="s">
        <v>793</v>
      </c>
      <c r="D20" s="212">
        <v>9</v>
      </c>
      <c r="E20" s="216">
        <v>2081</v>
      </c>
      <c r="F20" s="216">
        <v>2314.6</v>
      </c>
      <c r="G20" s="212">
        <v>11.2</v>
      </c>
      <c r="H20" s="432" t="s">
        <v>794</v>
      </c>
      <c r="I20" s="434">
        <f t="shared" ref="I20:I25" si="0">1/(F20/860.421)</f>
        <v>0.37173636913505576</v>
      </c>
      <c r="J20" s="81"/>
      <c r="K20" s="94"/>
      <c r="L20" s="81"/>
      <c r="M20" s="94"/>
      <c r="N20" s="94"/>
      <c r="O20" s="81"/>
      <c r="P20" s="155"/>
    </row>
    <row r="21" spans="2:16" ht="16" customHeight="1" thickBot="1">
      <c r="B21" s="156"/>
      <c r="C21" s="215" t="s">
        <v>795</v>
      </c>
      <c r="D21" s="212">
        <v>4</v>
      </c>
      <c r="E21" s="216">
        <v>2054</v>
      </c>
      <c r="F21" s="216">
        <v>2279.4</v>
      </c>
      <c r="G21" s="212">
        <v>11</v>
      </c>
      <c r="H21" s="432" t="s">
        <v>796</v>
      </c>
      <c r="I21" s="434">
        <f t="shared" si="0"/>
        <v>0.37747696762305871</v>
      </c>
      <c r="J21" s="81"/>
      <c r="K21" s="94"/>
      <c r="L21" s="81"/>
      <c r="M21" s="94"/>
      <c r="N21" s="94"/>
      <c r="O21" s="81"/>
      <c r="P21" s="155"/>
    </row>
    <row r="22" spans="2:16" ht="16" customHeight="1" thickBot="1">
      <c r="B22" s="156"/>
      <c r="C22" s="215" t="s">
        <v>797</v>
      </c>
      <c r="D22" s="212">
        <v>5</v>
      </c>
      <c r="E22" s="216">
        <v>2051.9</v>
      </c>
      <c r="F22" s="216">
        <v>2305.8000000000002</v>
      </c>
      <c r="G22" s="212">
        <v>12.4</v>
      </c>
      <c r="H22" s="432" t="s">
        <v>798</v>
      </c>
      <c r="I22" s="434">
        <f t="shared" si="0"/>
        <v>0.3731550871714806</v>
      </c>
      <c r="J22" s="121"/>
      <c r="K22" s="121"/>
      <c r="L22" s="121"/>
      <c r="M22" s="121"/>
      <c r="N22" s="121"/>
      <c r="O22" s="81"/>
      <c r="P22" s="155"/>
    </row>
    <row r="23" spans="2:16" ht="16" customHeight="1" thickBot="1">
      <c r="B23" s="156"/>
      <c r="C23" s="215" t="s">
        <v>799</v>
      </c>
      <c r="D23" s="212">
        <v>49</v>
      </c>
      <c r="E23" s="216">
        <v>2024.3</v>
      </c>
      <c r="F23" s="216">
        <v>2166.1</v>
      </c>
      <c r="G23" s="212">
        <v>7</v>
      </c>
      <c r="H23" s="432" t="s">
        <v>800</v>
      </c>
      <c r="I23" s="434">
        <f t="shared" si="0"/>
        <v>0.39722127325608236</v>
      </c>
      <c r="J23" s="81"/>
      <c r="K23" s="94"/>
      <c r="L23" s="81"/>
      <c r="M23" s="94"/>
      <c r="N23" s="94"/>
      <c r="O23" s="81"/>
      <c r="P23" s="155"/>
    </row>
    <row r="24" spans="2:16" ht="16" customHeight="1" thickBot="1">
      <c r="B24" s="156"/>
      <c r="C24" s="215" t="s">
        <v>801</v>
      </c>
      <c r="D24" s="212">
        <v>5</v>
      </c>
      <c r="E24" s="216">
        <v>2001.2</v>
      </c>
      <c r="F24" s="216">
        <v>2239.1999999999998</v>
      </c>
      <c r="G24" s="212">
        <v>11.9</v>
      </c>
      <c r="H24" s="432" t="s">
        <v>802</v>
      </c>
      <c r="I24" s="434">
        <f t="shared" si="0"/>
        <v>0.38425375133976425</v>
      </c>
      <c r="J24" s="81"/>
      <c r="K24" s="94"/>
      <c r="L24" s="81"/>
      <c r="M24" s="94"/>
      <c r="N24" s="94"/>
      <c r="O24" s="81"/>
      <c r="P24" s="155"/>
    </row>
    <row r="25" spans="2:16" ht="16" customHeight="1" thickBot="1">
      <c r="B25" s="156"/>
      <c r="C25" s="215" t="s">
        <v>803</v>
      </c>
      <c r="D25" s="212">
        <v>5</v>
      </c>
      <c r="E25" s="216">
        <v>1976.4</v>
      </c>
      <c r="F25" s="216">
        <v>2108.3000000000002</v>
      </c>
      <c r="G25" s="212">
        <v>6.7</v>
      </c>
      <c r="H25" s="432" t="s">
        <v>804</v>
      </c>
      <c r="I25" s="435">
        <f t="shared" si="0"/>
        <v>0.4081112744865531</v>
      </c>
      <c r="J25" s="121"/>
      <c r="K25" s="121"/>
      <c r="L25" s="121"/>
      <c r="M25" s="121"/>
      <c r="N25" s="121"/>
      <c r="O25" s="81"/>
      <c r="P25" s="155"/>
    </row>
  </sheetData>
  <mergeCells count="3">
    <mergeCell ref="C16:C18"/>
    <mergeCell ref="D16:D18"/>
    <mergeCell ref="H16:H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4C05-C86A-3549-9B2E-2AA954D207C1}">
  <dimension ref="A1:O15"/>
  <sheetViews>
    <sheetView workbookViewId="0">
      <selection activeCell="L14" sqref="L14"/>
    </sheetView>
  </sheetViews>
  <sheetFormatPr baseColWidth="10" defaultColWidth="11" defaultRowHeight="16"/>
  <cols>
    <col min="3" max="3" width="43.33203125" customWidth="1"/>
    <col min="7" max="13" width="11.6640625" bestFit="1" customWidth="1"/>
  </cols>
  <sheetData>
    <row r="1" spans="1:15" ht="17" thickBo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44">
      <c r="A2" s="193" t="s">
        <v>1</v>
      </c>
      <c r="B2" s="194" t="s">
        <v>3</v>
      </c>
      <c r="C2" s="194" t="s">
        <v>4</v>
      </c>
      <c r="D2" s="194" t="s">
        <v>756</v>
      </c>
      <c r="E2" s="194" t="s">
        <v>757</v>
      </c>
      <c r="F2" s="194" t="s">
        <v>758</v>
      </c>
      <c r="G2" s="194" t="s">
        <v>759</v>
      </c>
      <c r="H2" s="194" t="s">
        <v>760</v>
      </c>
      <c r="I2" s="194" t="s">
        <v>761</v>
      </c>
      <c r="J2" s="194" t="s">
        <v>762</v>
      </c>
      <c r="K2" s="194" t="s">
        <v>763</v>
      </c>
      <c r="L2" s="194" t="s">
        <v>764</v>
      </c>
      <c r="M2" s="195" t="s">
        <v>765</v>
      </c>
      <c r="N2" s="9"/>
      <c r="O2" s="9"/>
    </row>
    <row r="3" spans="1:15" ht="17">
      <c r="A3" s="22" t="s">
        <v>523</v>
      </c>
      <c r="B3" s="9" t="s">
        <v>59</v>
      </c>
      <c r="C3" s="9" t="s">
        <v>767</v>
      </c>
      <c r="D3" s="9">
        <v>685</v>
      </c>
      <c r="E3" s="9">
        <v>600</v>
      </c>
      <c r="F3" s="9">
        <v>650</v>
      </c>
      <c r="G3" s="9">
        <v>500</v>
      </c>
      <c r="H3" s="9">
        <v>250</v>
      </c>
      <c r="I3" s="9">
        <v>210.1</v>
      </c>
      <c r="J3" s="9">
        <v>199</v>
      </c>
      <c r="K3" s="9">
        <v>140.1</v>
      </c>
      <c r="L3" s="9">
        <v>120.6</v>
      </c>
      <c r="M3" s="23">
        <v>108.1</v>
      </c>
      <c r="N3" s="9"/>
      <c r="O3" s="9"/>
    </row>
    <row r="4" spans="1:15" ht="51">
      <c r="A4" s="22" t="s">
        <v>173</v>
      </c>
      <c r="B4" s="9" t="s">
        <v>47</v>
      </c>
      <c r="C4" s="9" t="s">
        <v>768</v>
      </c>
      <c r="D4" s="9">
        <v>0.48</v>
      </c>
      <c r="E4" s="9">
        <v>0.46300000000000002</v>
      </c>
      <c r="F4" s="9">
        <v>0.46300000000000002</v>
      </c>
      <c r="G4" s="9">
        <v>0.4353476</v>
      </c>
      <c r="H4" s="9">
        <v>0.42930895000000002</v>
      </c>
      <c r="I4" s="9">
        <v>0.42479436999999998</v>
      </c>
      <c r="J4" s="9">
        <v>0.41939022999999997</v>
      </c>
      <c r="K4" s="9">
        <v>0.41890019000000001</v>
      </c>
      <c r="L4" s="9">
        <v>0.41699185999999999</v>
      </c>
      <c r="M4" s="23">
        <v>0.40231028000000002</v>
      </c>
      <c r="N4" s="9"/>
      <c r="O4" s="9"/>
    </row>
    <row r="5" spans="1:15" ht="17">
      <c r="A5" s="22" t="s">
        <v>769</v>
      </c>
      <c r="B5" s="9" t="s">
        <v>59</v>
      </c>
      <c r="C5" s="9" t="s">
        <v>770</v>
      </c>
      <c r="D5" s="196">
        <v>2.64</v>
      </c>
      <c r="E5" s="196">
        <v>2.31</v>
      </c>
      <c r="F5" s="196">
        <v>2.5099999999999998</v>
      </c>
      <c r="G5" s="196">
        <f>G3*0.3869/100</f>
        <v>1.9345000000000001</v>
      </c>
      <c r="H5" s="196">
        <f t="shared" ref="H5:M5" si="0">H3*0.3869/100</f>
        <v>0.96725000000000005</v>
      </c>
      <c r="I5" s="196">
        <f t="shared" si="0"/>
        <v>0.81287690000000001</v>
      </c>
      <c r="J5" s="196">
        <f t="shared" si="0"/>
        <v>0.76993100000000003</v>
      </c>
      <c r="K5" s="196">
        <f t="shared" si="0"/>
        <v>0.5420469</v>
      </c>
      <c r="L5" s="196">
        <f t="shared" si="0"/>
        <v>0.4666014</v>
      </c>
      <c r="M5" s="196">
        <f t="shared" si="0"/>
        <v>0.41823889999999997</v>
      </c>
      <c r="N5" s="9"/>
      <c r="O5" s="9"/>
    </row>
    <row r="6" spans="1:15" ht="17">
      <c r="A6" s="22" t="s">
        <v>771</v>
      </c>
      <c r="B6" s="9" t="s">
        <v>59</v>
      </c>
      <c r="C6" s="9" t="s">
        <v>772</v>
      </c>
      <c r="D6" s="9">
        <v>35</v>
      </c>
      <c r="E6" s="9">
        <v>24</v>
      </c>
      <c r="F6" s="9">
        <v>26.7</v>
      </c>
      <c r="G6" s="196">
        <f>0.0784*G3</f>
        <v>39.199999999999996</v>
      </c>
      <c r="H6" s="196">
        <f>H3*0.0944</f>
        <v>23.599999999999998</v>
      </c>
      <c r="I6" s="196">
        <v>19</v>
      </c>
      <c r="J6" s="196">
        <v>17.02</v>
      </c>
      <c r="K6" s="196">
        <v>13.38</v>
      </c>
      <c r="L6" s="196">
        <v>11.38</v>
      </c>
      <c r="M6" s="197">
        <v>11.82</v>
      </c>
      <c r="N6" s="9"/>
      <c r="O6" s="9"/>
    </row>
    <row r="7" spans="1:15" ht="17">
      <c r="A7" s="22" t="s">
        <v>773</v>
      </c>
      <c r="B7" s="9" t="s">
        <v>559</v>
      </c>
      <c r="C7" s="9" t="s">
        <v>774</v>
      </c>
      <c r="D7" s="9">
        <v>510</v>
      </c>
      <c r="E7" s="9">
        <v>440</v>
      </c>
      <c r="F7" s="9">
        <v>480</v>
      </c>
      <c r="G7" s="198">
        <f>1517.8 * 1000/(60*60)</f>
        <v>421.61111111111109</v>
      </c>
      <c r="H7" s="9">
        <f>748.3* 1000/(60*60)</f>
        <v>207.86111111111111</v>
      </c>
      <c r="I7" s="9">
        <f>645.1* 1000/(60*60)</f>
        <v>179.19444444444446</v>
      </c>
      <c r="J7" s="9">
        <f>642.3* 1000/(60*60)</f>
        <v>178.41666666666666</v>
      </c>
      <c r="K7" s="9">
        <f>408.9* 1000/(60*60)</f>
        <v>113.58333333333333</v>
      </c>
      <c r="L7" s="9">
        <f>374.8* 1000/(60*60)</f>
        <v>104.11111111111111</v>
      </c>
      <c r="M7" s="23">
        <f>344.8* 1000/(60*60)</f>
        <v>95.777777777777771</v>
      </c>
      <c r="N7" s="9"/>
      <c r="O7" s="9"/>
    </row>
    <row r="8" spans="1:15" ht="34">
      <c r="A8" s="22" t="s">
        <v>775</v>
      </c>
      <c r="B8" s="9" t="s">
        <v>776</v>
      </c>
      <c r="C8" s="9" t="s">
        <v>777</v>
      </c>
      <c r="D8" s="9">
        <v>242</v>
      </c>
      <c r="E8" s="9">
        <v>166.5</v>
      </c>
      <c r="F8" s="9">
        <v>166.5</v>
      </c>
      <c r="G8" s="9">
        <f>171.3/ 1.01972</f>
        <v>167.98729062880008</v>
      </c>
      <c r="H8" s="9">
        <f>150.6/ 1.01972</f>
        <v>147.68760051778921</v>
      </c>
      <c r="I8" s="9">
        <f>142.2/ 1.01972</f>
        <v>139.45004511042245</v>
      </c>
      <c r="J8" s="9">
        <f>135.7/ 1.01972</f>
        <v>133.07574628329346</v>
      </c>
      <c r="K8" s="9">
        <f>132.8/ 1.01972</f>
        <v>130.23182834503592</v>
      </c>
      <c r="L8" s="9">
        <f>129.9/ 1.01972</f>
        <v>127.38791040677835</v>
      </c>
      <c r="M8" s="23">
        <f>126.7/ 1.01972</f>
        <v>124.24979406111483</v>
      </c>
      <c r="N8" s="9"/>
      <c r="O8" s="9"/>
    </row>
    <row r="9" spans="1:15" ht="34">
      <c r="A9" s="22" t="s">
        <v>778</v>
      </c>
      <c r="B9" s="9" t="s">
        <v>43</v>
      </c>
      <c r="C9" s="9" t="s">
        <v>779</v>
      </c>
      <c r="D9" s="9">
        <v>560</v>
      </c>
      <c r="E9" s="9">
        <v>560</v>
      </c>
      <c r="F9" s="9">
        <v>560</v>
      </c>
      <c r="G9" s="9">
        <v>537.6</v>
      </c>
      <c r="H9" s="9">
        <v>537.6</v>
      </c>
      <c r="I9" s="9">
        <v>537.29999999999995</v>
      </c>
      <c r="J9" s="9">
        <v>538</v>
      </c>
      <c r="K9" s="9">
        <v>539</v>
      </c>
      <c r="L9" s="9">
        <v>537.4</v>
      </c>
      <c r="M9" s="23">
        <v>537.5</v>
      </c>
      <c r="N9" s="9"/>
      <c r="O9" s="9"/>
    </row>
    <row r="10" spans="1:15" ht="35" thickBot="1">
      <c r="A10" s="24" t="s">
        <v>780</v>
      </c>
      <c r="B10" s="25"/>
      <c r="C10" s="25"/>
      <c r="D10" s="25" t="s">
        <v>73</v>
      </c>
      <c r="E10" s="25" t="s">
        <v>73</v>
      </c>
      <c r="F10" s="25" t="s">
        <v>73</v>
      </c>
      <c r="G10" s="26" t="s">
        <v>781</v>
      </c>
      <c r="H10" s="26" t="s">
        <v>781</v>
      </c>
      <c r="I10" s="26" t="s">
        <v>781</v>
      </c>
      <c r="J10" s="26" t="s">
        <v>781</v>
      </c>
      <c r="K10" s="26" t="s">
        <v>781</v>
      </c>
      <c r="L10" s="26" t="s">
        <v>781</v>
      </c>
      <c r="M10" s="26" t="s">
        <v>781</v>
      </c>
      <c r="N10" s="9"/>
      <c r="O10" s="9"/>
    </row>
    <row r="11" spans="1: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26">
      <c r="A15" s="9"/>
      <c r="B15" s="199"/>
      <c r="C15" s="83"/>
      <c r="D15" s="83"/>
      <c r="E15" s="83"/>
      <c r="F15" s="83"/>
      <c r="G15" s="83"/>
      <c r="H15" s="83"/>
      <c r="I15" s="83"/>
      <c r="J15" s="83"/>
      <c r="K15" s="200"/>
      <c r="L15" s="83"/>
      <c r="M15" s="200"/>
      <c r="N15" s="200"/>
      <c r="O15" s="8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1277-D206-E440-8D6A-27C3B316803D}">
  <dimension ref="A2:CT10"/>
  <sheetViews>
    <sheetView workbookViewId="0">
      <pane xSplit="1" topLeftCell="B1" activePane="topRight" state="frozen"/>
      <selection pane="topRight" activeCell="F6" sqref="F6"/>
    </sheetView>
  </sheetViews>
  <sheetFormatPr baseColWidth="10" defaultColWidth="8.83203125" defaultRowHeight="16"/>
  <cols>
    <col min="1" max="1" width="21.5" style="190" customWidth="1"/>
    <col min="2" max="16384" width="8.83203125" style="190"/>
  </cols>
  <sheetData>
    <row r="2" spans="1:98">
      <c r="A2" s="192" t="s">
        <v>1</v>
      </c>
      <c r="B2" s="192" t="s">
        <v>3</v>
      </c>
      <c r="C2" s="192" t="s">
        <v>4</v>
      </c>
      <c r="D2" s="192" t="s">
        <v>756</v>
      </c>
      <c r="E2" s="192" t="s">
        <v>757</v>
      </c>
      <c r="F2" s="192" t="s">
        <v>758</v>
      </c>
      <c r="G2" s="192" t="s">
        <v>759</v>
      </c>
      <c r="H2" s="192" t="s">
        <v>760</v>
      </c>
      <c r="I2" s="192" t="s">
        <v>761</v>
      </c>
      <c r="J2" s="192" t="s">
        <v>762</v>
      </c>
      <c r="K2" s="192" t="s">
        <v>763</v>
      </c>
      <c r="L2" s="192" t="s">
        <v>764</v>
      </c>
      <c r="M2" s="192" t="s">
        <v>765</v>
      </c>
      <c r="N2" s="192" t="s">
        <v>805</v>
      </c>
      <c r="O2" s="192" t="s">
        <v>806</v>
      </c>
      <c r="P2" s="192" t="s">
        <v>807</v>
      </c>
      <c r="Q2" s="192" t="s">
        <v>808</v>
      </c>
      <c r="R2" s="192" t="s">
        <v>809</v>
      </c>
      <c r="S2" s="192" t="s">
        <v>810</v>
      </c>
      <c r="T2" s="192" t="s">
        <v>811</v>
      </c>
      <c r="U2" s="192" t="s">
        <v>812</v>
      </c>
      <c r="V2" s="192" t="s">
        <v>813</v>
      </c>
      <c r="W2" s="192" t="s">
        <v>814</v>
      </c>
      <c r="X2" s="192" t="s">
        <v>815</v>
      </c>
      <c r="Y2" s="192" t="s">
        <v>816</v>
      </c>
      <c r="Z2" s="192" t="s">
        <v>817</v>
      </c>
      <c r="AA2" s="192" t="s">
        <v>818</v>
      </c>
      <c r="AB2" s="192" t="s">
        <v>819</v>
      </c>
      <c r="AC2" s="192" t="s">
        <v>820</v>
      </c>
      <c r="AD2" s="192" t="s">
        <v>821</v>
      </c>
      <c r="AE2" s="192" t="s">
        <v>822</v>
      </c>
      <c r="AF2" s="192" t="s">
        <v>823</v>
      </c>
      <c r="AG2" s="192" t="s">
        <v>824</v>
      </c>
      <c r="AH2" s="192" t="s">
        <v>825</v>
      </c>
      <c r="AI2" s="192" t="s">
        <v>826</v>
      </c>
      <c r="AJ2" s="192" t="s">
        <v>827</v>
      </c>
      <c r="AK2" s="192" t="s">
        <v>828</v>
      </c>
      <c r="AL2" s="192" t="s">
        <v>829</v>
      </c>
      <c r="AM2" s="192" t="s">
        <v>830</v>
      </c>
      <c r="AN2" s="192" t="s">
        <v>831</v>
      </c>
      <c r="AO2" s="192" t="s">
        <v>832</v>
      </c>
      <c r="AP2" s="192" t="s">
        <v>833</v>
      </c>
      <c r="AQ2" s="192" t="s">
        <v>834</v>
      </c>
      <c r="AR2" s="192" t="s">
        <v>835</v>
      </c>
      <c r="AS2" s="192" t="s">
        <v>836</v>
      </c>
      <c r="AT2" s="192" t="s">
        <v>837</v>
      </c>
      <c r="AU2" s="192" t="s">
        <v>838</v>
      </c>
      <c r="AV2" s="192" t="s">
        <v>839</v>
      </c>
      <c r="AW2" s="192" t="s">
        <v>840</v>
      </c>
      <c r="AX2" s="192" t="s">
        <v>841</v>
      </c>
      <c r="AY2" s="192" t="s">
        <v>842</v>
      </c>
      <c r="AZ2" s="192" t="s">
        <v>843</v>
      </c>
      <c r="BA2" s="192" t="s">
        <v>844</v>
      </c>
      <c r="BB2" s="192" t="s">
        <v>845</v>
      </c>
      <c r="BC2" s="192" t="s">
        <v>846</v>
      </c>
      <c r="BD2" s="192" t="s">
        <v>847</v>
      </c>
      <c r="BE2" s="192" t="s">
        <v>848</v>
      </c>
      <c r="BF2" s="192" t="s">
        <v>849</v>
      </c>
      <c r="BG2" s="192" t="s">
        <v>850</v>
      </c>
      <c r="BH2" s="192" t="s">
        <v>851</v>
      </c>
      <c r="BI2" s="192" t="s">
        <v>852</v>
      </c>
      <c r="BJ2" s="192" t="s">
        <v>853</v>
      </c>
      <c r="BK2" s="192" t="s">
        <v>854</v>
      </c>
      <c r="BL2" s="192" t="s">
        <v>855</v>
      </c>
      <c r="BM2" s="192" t="s">
        <v>856</v>
      </c>
      <c r="BN2" s="192" t="s">
        <v>857</v>
      </c>
      <c r="BO2" s="192" t="s">
        <v>858</v>
      </c>
      <c r="BP2" s="192" t="s">
        <v>859</v>
      </c>
      <c r="BQ2" s="192" t="s">
        <v>860</v>
      </c>
      <c r="BR2" s="192" t="s">
        <v>861</v>
      </c>
      <c r="BS2" s="192" t="s">
        <v>862</v>
      </c>
      <c r="BT2" s="192" t="s">
        <v>863</v>
      </c>
      <c r="BU2" s="192" t="s">
        <v>864</v>
      </c>
      <c r="BV2" s="192" t="s">
        <v>865</v>
      </c>
      <c r="BW2" s="192" t="s">
        <v>866</v>
      </c>
      <c r="BX2" s="192" t="s">
        <v>867</v>
      </c>
      <c r="BY2" s="192" t="s">
        <v>868</v>
      </c>
      <c r="BZ2" s="192" t="s">
        <v>869</v>
      </c>
      <c r="CA2" s="192" t="s">
        <v>870</v>
      </c>
      <c r="CB2" s="192" t="s">
        <v>871</v>
      </c>
      <c r="CC2" s="192" t="s">
        <v>872</v>
      </c>
      <c r="CD2" s="192" t="s">
        <v>873</v>
      </c>
      <c r="CE2" s="192" t="s">
        <v>874</v>
      </c>
      <c r="CF2" s="192" t="s">
        <v>875</v>
      </c>
      <c r="CG2" s="192" t="s">
        <v>876</v>
      </c>
      <c r="CH2" s="192" t="s">
        <v>877</v>
      </c>
      <c r="CI2" s="192" t="s">
        <v>878</v>
      </c>
      <c r="CJ2" s="192" t="s">
        <v>879</v>
      </c>
      <c r="CK2" s="192" t="s">
        <v>880</v>
      </c>
      <c r="CL2" s="192" t="s">
        <v>881</v>
      </c>
      <c r="CM2" s="192" t="s">
        <v>882</v>
      </c>
      <c r="CN2" s="192" t="s">
        <v>883</v>
      </c>
      <c r="CO2" s="192" t="s">
        <v>884</v>
      </c>
      <c r="CP2" s="192" t="s">
        <v>885</v>
      </c>
      <c r="CQ2" s="192" t="s">
        <v>886</v>
      </c>
      <c r="CR2" s="192" t="s">
        <v>887</v>
      </c>
      <c r="CS2" s="192" t="s">
        <v>888</v>
      </c>
      <c r="CT2" s="192" t="s">
        <v>889</v>
      </c>
    </row>
    <row r="3" spans="1:98">
      <c r="A3" s="190" t="s">
        <v>523</v>
      </c>
      <c r="B3" s="190" t="s">
        <v>59</v>
      </c>
      <c r="C3" s="190" t="s">
        <v>767</v>
      </c>
      <c r="D3" s="190">
        <v>685</v>
      </c>
      <c r="E3" s="190">
        <v>600</v>
      </c>
      <c r="F3" s="190">
        <v>650</v>
      </c>
      <c r="G3" s="190">
        <v>500</v>
      </c>
      <c r="H3" s="190">
        <v>250</v>
      </c>
      <c r="I3" s="190">
        <v>210.1</v>
      </c>
      <c r="J3" s="190">
        <v>199</v>
      </c>
      <c r="K3" s="190">
        <v>140.1</v>
      </c>
      <c r="L3" s="190">
        <v>120.6</v>
      </c>
      <c r="M3" s="190">
        <v>108.1</v>
      </c>
      <c r="N3" s="190">
        <v>500</v>
      </c>
      <c r="O3" s="190">
        <v>500</v>
      </c>
      <c r="P3" s="190">
        <v>500</v>
      </c>
      <c r="Q3" s="190">
        <v>500</v>
      </c>
      <c r="R3" s="190">
        <v>500.21</v>
      </c>
      <c r="S3" s="190">
        <v>250</v>
      </c>
      <c r="T3" s="190">
        <v>250</v>
      </c>
      <c r="U3" s="190">
        <v>250</v>
      </c>
      <c r="V3" s="190">
        <v>250</v>
      </c>
      <c r="W3" s="190">
        <v>250</v>
      </c>
      <c r="X3" s="190">
        <v>210</v>
      </c>
      <c r="Y3" s="190">
        <v>210.2</v>
      </c>
      <c r="Z3" s="190">
        <v>210</v>
      </c>
      <c r="AA3" s="190">
        <v>210.4</v>
      </c>
      <c r="AB3" s="190">
        <v>210</v>
      </c>
      <c r="AC3" s="190">
        <v>210</v>
      </c>
      <c r="AD3" s="190">
        <v>210</v>
      </c>
      <c r="AE3" s="190">
        <v>210.4</v>
      </c>
      <c r="AF3" s="190">
        <v>210</v>
      </c>
      <c r="AG3" s="190">
        <v>210.42</v>
      </c>
      <c r="AH3" s="190">
        <v>210.36</v>
      </c>
      <c r="AI3" s="190">
        <v>210</v>
      </c>
      <c r="AJ3" s="190">
        <v>210</v>
      </c>
      <c r="AK3" s="190">
        <v>210</v>
      </c>
      <c r="AL3" s="190">
        <v>210</v>
      </c>
      <c r="AM3" s="190">
        <v>210</v>
      </c>
      <c r="AN3" s="190">
        <v>210.5</v>
      </c>
      <c r="AO3" s="190">
        <v>210</v>
      </c>
      <c r="AP3" s="190">
        <v>210</v>
      </c>
      <c r="AQ3" s="190">
        <v>210</v>
      </c>
      <c r="AR3" s="190">
        <v>210</v>
      </c>
      <c r="AS3" s="190">
        <v>210</v>
      </c>
      <c r="AT3" s="190">
        <v>210</v>
      </c>
      <c r="AU3" s="190">
        <v>210.18</v>
      </c>
      <c r="AV3" s="190">
        <v>210</v>
      </c>
      <c r="AW3" s="190">
        <v>210</v>
      </c>
      <c r="AX3" s="190">
        <v>210.56</v>
      </c>
      <c r="AY3" s="190">
        <v>210</v>
      </c>
      <c r="AZ3" s="190">
        <v>210</v>
      </c>
      <c r="BA3" s="190">
        <v>210</v>
      </c>
      <c r="BB3" s="190">
        <v>210</v>
      </c>
      <c r="BC3" s="190">
        <v>210</v>
      </c>
      <c r="BD3" s="190">
        <v>210</v>
      </c>
      <c r="BE3" s="190">
        <v>210</v>
      </c>
      <c r="BF3" s="190">
        <v>210</v>
      </c>
      <c r="BG3" s="190">
        <v>210</v>
      </c>
      <c r="BH3" s="190">
        <v>210</v>
      </c>
      <c r="BI3" s="190">
        <v>210</v>
      </c>
      <c r="BJ3" s="190">
        <v>210</v>
      </c>
      <c r="BK3" s="190">
        <v>210.52</v>
      </c>
      <c r="BL3" s="190">
        <v>210</v>
      </c>
      <c r="BM3" s="190">
        <v>210</v>
      </c>
      <c r="BN3" s="190">
        <v>210</v>
      </c>
      <c r="BO3" s="190">
        <v>210.42</v>
      </c>
      <c r="BP3" s="190">
        <v>210.36</v>
      </c>
      <c r="BQ3" s="190">
        <v>210</v>
      </c>
      <c r="BR3" s="190">
        <v>210</v>
      </c>
      <c r="BS3" s="190">
        <v>210</v>
      </c>
      <c r="BT3" s="190">
        <v>210</v>
      </c>
      <c r="BU3" s="190">
        <v>195</v>
      </c>
      <c r="BV3" s="190">
        <v>200</v>
      </c>
      <c r="BW3" s="190">
        <v>200.09</v>
      </c>
      <c r="BX3" s="190">
        <v>200</v>
      </c>
      <c r="BY3" s="190">
        <v>200.09</v>
      </c>
      <c r="BZ3" s="190">
        <v>140</v>
      </c>
      <c r="CA3" s="190">
        <v>140</v>
      </c>
      <c r="CB3" s="190">
        <v>140.22999999999999</v>
      </c>
      <c r="CC3" s="190">
        <v>140</v>
      </c>
      <c r="CD3" s="190">
        <v>120</v>
      </c>
      <c r="CE3" s="190">
        <v>120</v>
      </c>
      <c r="CF3" s="190">
        <v>120</v>
      </c>
      <c r="CG3" s="190">
        <v>120</v>
      </c>
      <c r="CH3" s="190">
        <v>120</v>
      </c>
      <c r="CI3" s="190">
        <v>120</v>
      </c>
      <c r="CJ3" s="190">
        <v>120</v>
      </c>
      <c r="CK3" s="190">
        <v>120.3</v>
      </c>
      <c r="CL3" s="190">
        <v>125</v>
      </c>
      <c r="CM3" s="190">
        <v>100</v>
      </c>
      <c r="CN3" s="190">
        <v>105</v>
      </c>
      <c r="CO3" s="190">
        <v>110</v>
      </c>
      <c r="CP3" s="190">
        <v>110</v>
      </c>
      <c r="CQ3" s="190">
        <v>110</v>
      </c>
      <c r="CR3" s="190">
        <v>110</v>
      </c>
      <c r="CS3" s="190">
        <v>110</v>
      </c>
      <c r="CT3" s="190">
        <v>110</v>
      </c>
    </row>
    <row r="4" spans="1:98">
      <c r="A4" s="190" t="s">
        <v>173</v>
      </c>
      <c r="B4" s="190" t="s">
        <v>47</v>
      </c>
      <c r="C4" s="190" t="s">
        <v>768</v>
      </c>
      <c r="D4" s="190">
        <v>0.48</v>
      </c>
      <c r="E4" s="190">
        <v>0.46300000000000002</v>
      </c>
      <c r="F4" s="190">
        <v>0.46300000000000002</v>
      </c>
      <c r="G4" s="190">
        <v>0.4353476</v>
      </c>
      <c r="H4" s="190">
        <v>0.42930895000000002</v>
      </c>
      <c r="I4" s="190">
        <v>0.42479436999999998</v>
      </c>
      <c r="J4" s="190">
        <v>0.41939022999999997</v>
      </c>
      <c r="K4" s="190">
        <v>0.41890019000000001</v>
      </c>
      <c r="L4" s="190">
        <v>0.41699185999999999</v>
      </c>
      <c r="M4" s="190">
        <v>0.40231028000000002</v>
      </c>
      <c r="N4" s="190">
        <v>0.43631896551724142</v>
      </c>
      <c r="O4" s="190">
        <v>0.43631896551724142</v>
      </c>
      <c r="P4" s="190">
        <v>0.43631896551724142</v>
      </c>
      <c r="Q4" s="190">
        <v>0.43361437282668952</v>
      </c>
      <c r="R4" s="190">
        <v>0.43416136845292158</v>
      </c>
      <c r="S4" s="190">
        <v>0.42930895120247481</v>
      </c>
      <c r="T4" s="190">
        <v>0.42935179640718568</v>
      </c>
      <c r="U4" s="190">
        <v>0.42913765586034908</v>
      </c>
      <c r="V4" s="190">
        <v>0.42935179640718568</v>
      </c>
      <c r="W4" s="190">
        <v>0.42935179640718568</v>
      </c>
      <c r="X4" s="190">
        <v>0.42862458902062373</v>
      </c>
      <c r="Y4" s="190">
        <v>0.42862458902062373</v>
      </c>
      <c r="Z4" s="190">
        <v>0.41727497575169742</v>
      </c>
      <c r="AA4" s="190">
        <v>0.42853919713118838</v>
      </c>
      <c r="AB4" s="190">
        <v>0.42871001494768318</v>
      </c>
      <c r="AC4" s="190">
        <v>0.42871001494768318</v>
      </c>
      <c r="AD4" s="190">
        <v>0.42871001494768318</v>
      </c>
      <c r="AE4" s="190">
        <v>0.41626560232220611</v>
      </c>
      <c r="AF4" s="190">
        <v>0.41526110038610042</v>
      </c>
      <c r="AG4" s="190">
        <v>0.42871001494768318</v>
      </c>
      <c r="AH4" s="190">
        <v>0.42978071928071931</v>
      </c>
      <c r="AI4" s="190">
        <v>0.42094960861056763</v>
      </c>
      <c r="AJ4" s="190">
        <v>0.41624546466063572</v>
      </c>
      <c r="AK4" s="190">
        <v>0.41626560232220611</v>
      </c>
      <c r="AL4" s="190">
        <v>0.42871001494768318</v>
      </c>
      <c r="AM4" s="190">
        <v>0.43146173904322538</v>
      </c>
      <c r="AN4" s="190">
        <v>0.42871001494768318</v>
      </c>
      <c r="AO4" s="190">
        <v>0.43128872180451128</v>
      </c>
      <c r="AP4" s="190">
        <v>0.41626560232220611</v>
      </c>
      <c r="AQ4" s="190">
        <v>0.41626560232220611</v>
      </c>
      <c r="AR4" s="190">
        <v>0.42871001494768318</v>
      </c>
      <c r="AS4" s="190">
        <v>0.42871001494768318</v>
      </c>
      <c r="AT4" s="190">
        <v>0.41768009708737869</v>
      </c>
      <c r="AU4" s="190">
        <v>0.42177500000000001</v>
      </c>
      <c r="AV4" s="190">
        <v>0.42177500000000001</v>
      </c>
      <c r="AW4" s="190">
        <v>0.42177500000000001</v>
      </c>
      <c r="AX4" s="190">
        <v>0.42871001494768318</v>
      </c>
      <c r="AY4" s="190">
        <v>0.42020951357687047</v>
      </c>
      <c r="AZ4" s="190">
        <v>0.42749590102846918</v>
      </c>
      <c r="BA4" s="190">
        <v>0.4283258661887695</v>
      </c>
      <c r="BB4" s="190">
        <v>0.43215519839276739</v>
      </c>
      <c r="BC4" s="190">
        <v>0.42871001494768318</v>
      </c>
      <c r="BD4" s="190">
        <v>0.42871001494768318</v>
      </c>
      <c r="BE4" s="190">
        <v>0.42866729772817858</v>
      </c>
      <c r="BF4" s="190">
        <v>0.42866729772817858</v>
      </c>
      <c r="BG4" s="190">
        <v>0.42871001494768318</v>
      </c>
      <c r="BH4" s="190">
        <v>0.42871001494768318</v>
      </c>
      <c r="BI4" s="190">
        <v>0.41727497575169742</v>
      </c>
      <c r="BJ4" s="190">
        <v>0.41768009708737869</v>
      </c>
      <c r="BK4" s="190">
        <v>0.42896649715824109</v>
      </c>
      <c r="BL4" s="190">
        <v>0.42896649715824109</v>
      </c>
      <c r="BM4" s="190">
        <v>0.41727497575169742</v>
      </c>
      <c r="BN4" s="190">
        <v>0.43150501504513539</v>
      </c>
      <c r="BO4" s="190">
        <v>0.42871001494768318</v>
      </c>
      <c r="BP4" s="190">
        <v>0.42871001494768318</v>
      </c>
      <c r="BQ4" s="190">
        <v>0.42871001494768318</v>
      </c>
      <c r="BR4" s="190">
        <v>0.43429285281647489</v>
      </c>
      <c r="BS4" s="190">
        <v>0.41723450683735819</v>
      </c>
      <c r="BT4" s="190">
        <v>0.41670912437039909</v>
      </c>
      <c r="BU4" s="190">
        <v>0.43021050000000011</v>
      </c>
      <c r="BV4" s="190">
        <v>0.41626560232220611</v>
      </c>
      <c r="BW4" s="190">
        <v>0.41626560232220611</v>
      </c>
      <c r="BX4" s="190">
        <v>0.41727497575169742</v>
      </c>
      <c r="BY4" s="190">
        <v>0.41727497575169742</v>
      </c>
      <c r="BZ4" s="190">
        <v>0.41890019474196688</v>
      </c>
      <c r="CA4" s="190">
        <v>0.41890019474196688</v>
      </c>
      <c r="CB4" s="190">
        <v>0.41890019474196688</v>
      </c>
      <c r="CC4" s="190">
        <v>0.41890019474196688</v>
      </c>
      <c r="CD4" s="190">
        <v>0.41875748284421088</v>
      </c>
      <c r="CE4" s="190">
        <v>0.41875748284421088</v>
      </c>
      <c r="CF4" s="190">
        <v>0.40972428571428571</v>
      </c>
      <c r="CG4" s="190">
        <v>0.40972428571428571</v>
      </c>
      <c r="CH4" s="190">
        <v>0.40972428571428571</v>
      </c>
      <c r="CI4" s="190">
        <v>0.40972428571428571</v>
      </c>
      <c r="CJ4" s="190">
        <v>0.40972428571428571</v>
      </c>
      <c r="CK4" s="190">
        <v>0.40972428571428571</v>
      </c>
      <c r="CL4" s="190">
        <v>0.42552967359050448</v>
      </c>
      <c r="CM4" s="190">
        <v>0.4024420018709074</v>
      </c>
      <c r="CN4" s="190">
        <v>0.40206588785046732</v>
      </c>
      <c r="CO4" s="190">
        <v>0.4024420018709074</v>
      </c>
      <c r="CP4" s="190">
        <v>0.40585896226415102</v>
      </c>
      <c r="CQ4" s="190">
        <v>0.40585896226415102</v>
      </c>
      <c r="CR4" s="190">
        <v>0.40206588785046732</v>
      </c>
      <c r="CS4" s="190">
        <v>0.40206588785046732</v>
      </c>
      <c r="CT4" s="190">
        <v>0.40206588785046732</v>
      </c>
    </row>
    <row r="5" spans="1:98">
      <c r="A5" s="190" t="s">
        <v>769</v>
      </c>
      <c r="B5" s="190" t="s">
        <v>59</v>
      </c>
      <c r="C5" s="190" t="s">
        <v>770</v>
      </c>
      <c r="D5" s="190">
        <v>2.64</v>
      </c>
      <c r="E5" s="190">
        <v>2.31</v>
      </c>
      <c r="F5" s="190">
        <v>2.5099999999999998</v>
      </c>
      <c r="G5" s="190">
        <v>1.9345000000000001</v>
      </c>
      <c r="H5" s="190">
        <v>0.96725000000000005</v>
      </c>
      <c r="I5" s="190">
        <v>0.81287690000000001</v>
      </c>
      <c r="J5" s="190">
        <v>0.76993100000000003</v>
      </c>
      <c r="K5" s="190">
        <v>0.5420469</v>
      </c>
      <c r="L5" s="190">
        <v>0.4666014</v>
      </c>
      <c r="M5" s="190">
        <v>0.41823890000000002</v>
      </c>
      <c r="N5" s="190">
        <v>1.9345000000000001</v>
      </c>
      <c r="O5" s="190">
        <v>1.9345000000000001</v>
      </c>
      <c r="P5" s="190">
        <v>1.9345000000000001</v>
      </c>
      <c r="Q5" s="190">
        <v>1.9345000000000001</v>
      </c>
      <c r="R5" s="190">
        <v>1.9353124900000001</v>
      </c>
      <c r="S5" s="190">
        <v>0.96725000000000005</v>
      </c>
      <c r="T5" s="190">
        <v>0.96725000000000005</v>
      </c>
      <c r="U5" s="190">
        <v>0.96725000000000005</v>
      </c>
      <c r="V5" s="190">
        <v>0.96725000000000005</v>
      </c>
      <c r="W5" s="190">
        <v>0.96725000000000005</v>
      </c>
      <c r="X5" s="190">
        <v>0.81249000000000005</v>
      </c>
      <c r="Y5" s="190">
        <v>0.81326379999999998</v>
      </c>
      <c r="Z5" s="190">
        <v>0.81249000000000005</v>
      </c>
      <c r="AA5" s="190">
        <v>0.81403760000000003</v>
      </c>
      <c r="AB5" s="190">
        <v>0.81249000000000005</v>
      </c>
      <c r="AC5" s="190">
        <v>0.81249000000000005</v>
      </c>
      <c r="AD5" s="190">
        <v>0.81249000000000005</v>
      </c>
      <c r="AE5" s="190">
        <v>0.81403760000000003</v>
      </c>
      <c r="AF5" s="190">
        <v>0.81249000000000005</v>
      </c>
      <c r="AG5" s="190">
        <v>0.81411497999999993</v>
      </c>
      <c r="AH5" s="190">
        <v>0.81388284000000011</v>
      </c>
      <c r="AI5" s="190">
        <v>0.81249000000000005</v>
      </c>
      <c r="AJ5" s="190">
        <v>0.81249000000000005</v>
      </c>
      <c r="AK5" s="190">
        <v>0.81249000000000005</v>
      </c>
      <c r="AL5" s="190">
        <v>0.81249000000000005</v>
      </c>
      <c r="AM5" s="190">
        <v>0.81249000000000005</v>
      </c>
      <c r="AN5" s="190">
        <v>0.81442450000000011</v>
      </c>
      <c r="AO5" s="190">
        <v>0.81249000000000005</v>
      </c>
      <c r="AP5" s="190">
        <v>0.81249000000000005</v>
      </c>
      <c r="AQ5" s="190">
        <v>0.81249000000000005</v>
      </c>
      <c r="AR5" s="190">
        <v>0.81249000000000005</v>
      </c>
      <c r="AS5" s="190">
        <v>0.81249000000000005</v>
      </c>
      <c r="AT5" s="190">
        <v>0.81249000000000005</v>
      </c>
      <c r="AU5" s="190">
        <v>0.81318642000000008</v>
      </c>
      <c r="AV5" s="190">
        <v>0.81249000000000005</v>
      </c>
      <c r="AW5" s="190">
        <v>0.81249000000000005</v>
      </c>
      <c r="AX5" s="190">
        <v>0.81465664000000004</v>
      </c>
      <c r="AY5" s="190">
        <v>0.81249000000000005</v>
      </c>
      <c r="AZ5" s="190">
        <v>0.81249000000000005</v>
      </c>
      <c r="BA5" s="190">
        <v>0.81249000000000005</v>
      </c>
      <c r="BB5" s="190">
        <v>0.81249000000000005</v>
      </c>
      <c r="BC5" s="190">
        <v>0.81249000000000005</v>
      </c>
      <c r="BD5" s="190">
        <v>0.81249000000000005</v>
      </c>
      <c r="BE5" s="190">
        <v>0.81249000000000005</v>
      </c>
      <c r="BF5" s="190">
        <v>0.81249000000000005</v>
      </c>
      <c r="BG5" s="190">
        <v>0.81249000000000005</v>
      </c>
      <c r="BH5" s="190">
        <v>0.81249000000000005</v>
      </c>
      <c r="BI5" s="190">
        <v>0.81249000000000005</v>
      </c>
      <c r="BJ5" s="190">
        <v>0.81249000000000005</v>
      </c>
      <c r="BK5" s="190">
        <v>0.81450188000000012</v>
      </c>
      <c r="BL5" s="190">
        <v>0.81249000000000005</v>
      </c>
      <c r="BM5" s="190">
        <v>0.81249000000000005</v>
      </c>
      <c r="BN5" s="190">
        <v>0.81249000000000005</v>
      </c>
      <c r="BO5" s="190">
        <v>0.81411497999999993</v>
      </c>
      <c r="BP5" s="190">
        <v>0.81388284000000011</v>
      </c>
      <c r="BQ5" s="190">
        <v>0.81249000000000005</v>
      </c>
      <c r="BR5" s="190">
        <v>0.81249000000000005</v>
      </c>
      <c r="BS5" s="190">
        <v>0.81249000000000005</v>
      </c>
      <c r="BT5" s="190">
        <v>0.81249000000000005</v>
      </c>
      <c r="BU5" s="190">
        <v>0.7544550000000001</v>
      </c>
      <c r="BV5" s="190">
        <v>0.77380000000000004</v>
      </c>
      <c r="BW5" s="190">
        <v>0.77414821</v>
      </c>
      <c r="BX5" s="190">
        <v>0.77380000000000004</v>
      </c>
      <c r="BY5" s="190">
        <v>0.77414821</v>
      </c>
      <c r="BZ5" s="190">
        <v>0.54166000000000003</v>
      </c>
      <c r="CA5" s="190">
        <v>0.54166000000000003</v>
      </c>
      <c r="CB5" s="190">
        <v>0.54254986999999999</v>
      </c>
      <c r="CC5" s="190">
        <v>0.54166000000000003</v>
      </c>
      <c r="CD5" s="190">
        <v>0.46428000000000003</v>
      </c>
      <c r="CE5" s="190">
        <v>0.46428000000000003</v>
      </c>
      <c r="CF5" s="190">
        <v>0.46428000000000003</v>
      </c>
      <c r="CG5" s="190">
        <v>0.46428000000000003</v>
      </c>
      <c r="CH5" s="190">
        <v>0.46428000000000003</v>
      </c>
      <c r="CI5" s="190">
        <v>0.46428000000000003</v>
      </c>
      <c r="CJ5" s="190">
        <v>0.46428000000000003</v>
      </c>
      <c r="CK5" s="190">
        <v>0.46544069999999998</v>
      </c>
      <c r="CL5" s="190">
        <v>0.48362500000000003</v>
      </c>
      <c r="CM5" s="190">
        <v>0.38690000000000002</v>
      </c>
      <c r="CN5" s="190">
        <v>0.40624500000000002</v>
      </c>
      <c r="CO5" s="190">
        <v>0.42559000000000002</v>
      </c>
      <c r="CP5" s="190">
        <v>0.42559000000000002</v>
      </c>
      <c r="CQ5" s="190">
        <v>0.42559000000000002</v>
      </c>
      <c r="CR5" s="190">
        <v>0.42559000000000002</v>
      </c>
      <c r="CS5" s="190">
        <v>0.42559000000000002</v>
      </c>
      <c r="CT5" s="190">
        <v>0.42559000000000002</v>
      </c>
    </row>
    <row r="6" spans="1:98">
      <c r="A6" s="190" t="s">
        <v>771</v>
      </c>
      <c r="B6" s="190" t="s">
        <v>59</v>
      </c>
      <c r="C6" s="190" t="s">
        <v>772</v>
      </c>
      <c r="D6" s="190">
        <v>35</v>
      </c>
      <c r="E6" s="190">
        <v>24</v>
      </c>
      <c r="F6" s="190">
        <v>26.7</v>
      </c>
      <c r="G6" s="190">
        <v>39.200000000000003</v>
      </c>
      <c r="H6" s="190">
        <v>23.6</v>
      </c>
      <c r="I6" s="190">
        <v>19</v>
      </c>
      <c r="J6" s="190">
        <v>17.02</v>
      </c>
      <c r="K6" s="190">
        <v>13.38</v>
      </c>
      <c r="L6" s="190">
        <v>11.38</v>
      </c>
      <c r="M6" s="190">
        <v>11.82</v>
      </c>
      <c r="N6" s="190">
        <v>43.45</v>
      </c>
      <c r="O6" s="190">
        <v>38.549999999999997</v>
      </c>
      <c r="P6" s="190">
        <v>39.049999999999997</v>
      </c>
      <c r="Q6" s="190">
        <v>37.549999999999997</v>
      </c>
      <c r="R6" s="190">
        <v>37.515749999999997</v>
      </c>
      <c r="S6" s="190">
        <v>23.95</v>
      </c>
      <c r="T6" s="190">
        <v>25.1</v>
      </c>
      <c r="U6" s="190">
        <v>21.35</v>
      </c>
      <c r="V6" s="190">
        <v>23.324999999999999</v>
      </c>
      <c r="W6" s="190">
        <v>24.324999999999999</v>
      </c>
      <c r="X6" s="190">
        <v>20.475000000000001</v>
      </c>
      <c r="Y6" s="190">
        <v>23.731580000000001</v>
      </c>
      <c r="Z6" s="190">
        <v>18.731999999999999</v>
      </c>
      <c r="AA6" s="190">
        <v>17.90504</v>
      </c>
      <c r="AB6" s="190">
        <v>20.37</v>
      </c>
      <c r="AC6" s="190">
        <v>20.727</v>
      </c>
      <c r="AD6" s="190">
        <v>21.105</v>
      </c>
      <c r="AE6" s="190">
        <v>19.988</v>
      </c>
      <c r="AF6" s="190">
        <v>23.498999999999999</v>
      </c>
      <c r="AG6" s="190">
        <v>20.410740000000001</v>
      </c>
      <c r="AH6" s="190">
        <v>24.864552</v>
      </c>
      <c r="AI6" s="190">
        <v>19.131</v>
      </c>
      <c r="AJ6" s="190">
        <v>18.942</v>
      </c>
      <c r="AK6" s="190">
        <v>18.690000000000001</v>
      </c>
      <c r="AL6" s="190">
        <v>19.571999999999999</v>
      </c>
      <c r="AM6" s="190">
        <v>18.669</v>
      </c>
      <c r="AN6" s="190">
        <v>17.0505</v>
      </c>
      <c r="AO6" s="190">
        <v>17.408999999999999</v>
      </c>
      <c r="AP6" s="190">
        <v>19.152000000000001</v>
      </c>
      <c r="AQ6" s="190">
        <v>18.963000000000001</v>
      </c>
      <c r="AR6" s="190">
        <v>20.37</v>
      </c>
      <c r="AS6" s="190">
        <v>19.298999999999999</v>
      </c>
      <c r="AT6" s="190">
        <v>19.803000000000001</v>
      </c>
      <c r="AU6" s="190">
        <v>20.849855999999999</v>
      </c>
      <c r="AV6" s="190">
        <v>19.908000000000001</v>
      </c>
      <c r="AW6" s="190">
        <v>27.027000000000001</v>
      </c>
      <c r="AX6" s="190">
        <v>22.614144</v>
      </c>
      <c r="AY6" s="190">
        <v>18.899999999999999</v>
      </c>
      <c r="AZ6" s="190">
        <v>21.105</v>
      </c>
      <c r="BA6" s="190">
        <v>21.923999999999999</v>
      </c>
      <c r="BB6" s="190">
        <v>21.84</v>
      </c>
      <c r="BC6" s="190">
        <v>21.797999999999998</v>
      </c>
      <c r="BD6" s="190">
        <v>18.899999999999999</v>
      </c>
      <c r="BE6" s="190">
        <v>19.466999999999999</v>
      </c>
      <c r="BF6" s="190">
        <v>19.215</v>
      </c>
      <c r="BG6" s="190">
        <v>19.95</v>
      </c>
      <c r="BH6" s="190">
        <v>19.257000000000001</v>
      </c>
      <c r="BI6" s="190">
        <v>19.152000000000001</v>
      </c>
      <c r="BJ6" s="190">
        <v>18.186</v>
      </c>
      <c r="BK6" s="190">
        <v>20.588856</v>
      </c>
      <c r="BL6" s="190">
        <v>18.731999999999999</v>
      </c>
      <c r="BM6" s="190">
        <v>16.946999999999999</v>
      </c>
      <c r="BN6" s="190">
        <v>20.097000000000001</v>
      </c>
      <c r="BO6" s="190">
        <v>19.358640000000001</v>
      </c>
      <c r="BP6" s="190">
        <v>20.531136</v>
      </c>
      <c r="BQ6" s="190">
        <v>19.466999999999999</v>
      </c>
      <c r="BR6" s="190">
        <v>18.437999999999999</v>
      </c>
      <c r="BS6" s="190">
        <v>18.228000000000002</v>
      </c>
      <c r="BT6" s="190">
        <v>23.414999999999999</v>
      </c>
      <c r="BU6" s="190">
        <v>19.5</v>
      </c>
      <c r="BV6" s="190">
        <v>17.600000000000001</v>
      </c>
      <c r="BW6" s="190">
        <v>16.147262999999999</v>
      </c>
      <c r="BX6" s="190">
        <v>25.18</v>
      </c>
      <c r="BY6" s="190">
        <v>23.490566000000001</v>
      </c>
      <c r="BZ6" s="190">
        <v>19.18</v>
      </c>
      <c r="CA6" s="190">
        <v>19.782</v>
      </c>
      <c r="CB6" s="190">
        <v>20.417487999999999</v>
      </c>
      <c r="CC6" s="190">
        <v>12.474</v>
      </c>
      <c r="CD6" s="190">
        <v>12.023999999999999</v>
      </c>
      <c r="CE6" s="190">
        <v>16.164000000000001</v>
      </c>
      <c r="CF6" s="190">
        <v>12.432</v>
      </c>
      <c r="CG6" s="190">
        <v>17.184000000000001</v>
      </c>
      <c r="CH6" s="190">
        <v>16.391999999999999</v>
      </c>
      <c r="CI6" s="190">
        <v>12.648</v>
      </c>
      <c r="CJ6" s="190">
        <v>14.891999999999999</v>
      </c>
      <c r="CK6" s="190">
        <v>16.32471</v>
      </c>
      <c r="CL6" s="190">
        <v>14.375</v>
      </c>
      <c r="CM6" s="190">
        <v>19.760000000000002</v>
      </c>
      <c r="CN6" s="190">
        <v>14.847</v>
      </c>
      <c r="CO6" s="190">
        <v>16.841000000000001</v>
      </c>
      <c r="CP6" s="190">
        <v>10.56</v>
      </c>
      <c r="CQ6" s="190">
        <v>10.021000000000001</v>
      </c>
      <c r="CR6" s="190">
        <v>10.318</v>
      </c>
      <c r="CS6" s="190">
        <v>14.343999999999999</v>
      </c>
      <c r="CT6" s="190">
        <v>15.884</v>
      </c>
    </row>
    <row r="7" spans="1:98">
      <c r="A7" s="190" t="s">
        <v>773</v>
      </c>
      <c r="B7" s="190" t="s">
        <v>559</v>
      </c>
      <c r="C7" s="190" t="s">
        <v>774</v>
      </c>
      <c r="D7" s="190">
        <v>510</v>
      </c>
      <c r="E7" s="190">
        <v>440</v>
      </c>
      <c r="F7" s="190">
        <v>480</v>
      </c>
      <c r="G7" s="190">
        <v>421.61111111111109</v>
      </c>
      <c r="H7" s="190">
        <v>207.86111111111109</v>
      </c>
      <c r="I7" s="190">
        <v>179.19444444444451</v>
      </c>
      <c r="J7" s="190">
        <v>178.41666666666671</v>
      </c>
      <c r="K7" s="190">
        <v>113.5833333333333</v>
      </c>
      <c r="L7" s="190">
        <v>104.1111111111111</v>
      </c>
      <c r="M7" s="190">
        <v>95.777777777777771</v>
      </c>
      <c r="N7" s="190">
        <v>423.33333333333331</v>
      </c>
      <c r="O7" s="190">
        <v>423.33333333333331</v>
      </c>
      <c r="P7" s="190">
        <v>423.33333333333331</v>
      </c>
      <c r="Q7" s="190">
        <v>418.83333333333331</v>
      </c>
      <c r="R7" s="190">
        <v>419.16666666666669</v>
      </c>
      <c r="S7" s="190">
        <v>211.11111111111109</v>
      </c>
      <c r="T7" s="190">
        <v>211.11111111111109</v>
      </c>
      <c r="U7" s="190">
        <v>205.55555555555549</v>
      </c>
      <c r="V7" s="190">
        <v>205.80555555555549</v>
      </c>
      <c r="W7" s="190">
        <v>205.7777777777778</v>
      </c>
      <c r="X7" s="190">
        <v>177.7777777777778</v>
      </c>
      <c r="Y7" s="190">
        <v>179.44444444444451</v>
      </c>
      <c r="Z7" s="190">
        <v>186.94444444444451</v>
      </c>
      <c r="AA7" s="190">
        <v>175</v>
      </c>
      <c r="AB7" s="190">
        <v>175</v>
      </c>
      <c r="AC7" s="190">
        <v>173.61111111111109</v>
      </c>
      <c r="AD7" s="190">
        <v>175</v>
      </c>
      <c r="AE7" s="190">
        <v>188.33333333333329</v>
      </c>
      <c r="AF7" s="190">
        <v>179.16666666666671</v>
      </c>
      <c r="AG7" s="190">
        <v>175.55555555555549</v>
      </c>
      <c r="AH7" s="190">
        <v>175</v>
      </c>
      <c r="AI7" s="190">
        <v>191.66666666666671</v>
      </c>
      <c r="AJ7" s="190">
        <v>188.33333333333329</v>
      </c>
      <c r="AK7" s="190">
        <v>188.88888888888891</v>
      </c>
      <c r="AL7" s="190">
        <v>176.38888888888891</v>
      </c>
      <c r="AM7" s="190">
        <v>176.38888888888891</v>
      </c>
      <c r="AN7" s="190">
        <v>176.38888888888891</v>
      </c>
      <c r="AO7" s="190">
        <v>175.2777777777778</v>
      </c>
      <c r="AP7" s="190">
        <v>179.44444444444451</v>
      </c>
      <c r="AQ7" s="190">
        <v>181.11111111111109</v>
      </c>
      <c r="AR7" s="190">
        <v>175</v>
      </c>
      <c r="AS7" s="190">
        <v>174.44444444444451</v>
      </c>
      <c r="AT7" s="190">
        <v>180.55555555555549</v>
      </c>
      <c r="AU7" s="190">
        <v>181.11111111111109</v>
      </c>
      <c r="AV7" s="190">
        <v>186.11111111111109</v>
      </c>
      <c r="AW7" s="190">
        <v>186.11111111111109</v>
      </c>
      <c r="AX7" s="190">
        <v>176.38888888888891</v>
      </c>
      <c r="AY7" s="190">
        <v>186.11111111111109</v>
      </c>
      <c r="AZ7" s="190">
        <v>178.30555555555549</v>
      </c>
      <c r="BA7" s="190">
        <v>182.5</v>
      </c>
      <c r="BB7" s="190">
        <v>179.16666666666671</v>
      </c>
      <c r="BC7" s="190">
        <v>176.66666666666671</v>
      </c>
      <c r="BD7" s="190">
        <v>176.38888888888891</v>
      </c>
      <c r="BE7" s="190">
        <v>173.61111111111109</v>
      </c>
      <c r="BF7" s="190">
        <v>173.61111111111109</v>
      </c>
      <c r="BG7" s="190">
        <v>175</v>
      </c>
      <c r="BH7" s="190">
        <v>175.2777777777778</v>
      </c>
      <c r="BI7" s="190">
        <v>180.55555555555549</v>
      </c>
      <c r="BJ7" s="190">
        <v>186.11111111111109</v>
      </c>
      <c r="BK7" s="190">
        <v>177.7777777777778</v>
      </c>
      <c r="BL7" s="190">
        <v>177.7777777777778</v>
      </c>
      <c r="BM7" s="190">
        <v>181.38888888888891</v>
      </c>
      <c r="BN7" s="190">
        <v>176.38888888888891</v>
      </c>
      <c r="BO7" s="190">
        <v>175.55555555555549</v>
      </c>
      <c r="BP7" s="190">
        <v>175</v>
      </c>
      <c r="BQ7" s="190">
        <v>175</v>
      </c>
      <c r="BR7" s="190">
        <v>177.7777777777778</v>
      </c>
      <c r="BS7" s="190">
        <v>183.33333333333329</v>
      </c>
      <c r="BT7" s="190">
        <v>182.63888888888891</v>
      </c>
      <c r="BU7" s="190">
        <v>162.08333333333329</v>
      </c>
      <c r="BV7" s="190">
        <v>177.2222222222222</v>
      </c>
      <c r="BW7" s="190">
        <v>175</v>
      </c>
      <c r="BX7" s="190">
        <v>188.88888888888891</v>
      </c>
      <c r="BY7" s="190">
        <v>188.88888888888891</v>
      </c>
      <c r="BZ7" s="190">
        <v>114.4444444444444</v>
      </c>
      <c r="CA7" s="190">
        <v>109.7222222222222</v>
      </c>
      <c r="CB7" s="190">
        <v>111.1111111111111</v>
      </c>
      <c r="CC7" s="190">
        <v>119</v>
      </c>
      <c r="CD7" s="190">
        <v>100</v>
      </c>
      <c r="CE7" s="190">
        <v>100.5555555555556</v>
      </c>
      <c r="CF7" s="190">
        <v>113.8888888888889</v>
      </c>
      <c r="CG7" s="190">
        <v>100.5555555555556</v>
      </c>
      <c r="CH7" s="190">
        <v>103.3333333333333</v>
      </c>
      <c r="CI7" s="190">
        <v>102.7777777777778</v>
      </c>
      <c r="CJ7" s="190">
        <v>111.9444444444444</v>
      </c>
      <c r="CK7" s="190">
        <v>95.555555555555557</v>
      </c>
      <c r="CL7" s="190">
        <v>108.3333333333333</v>
      </c>
      <c r="CM7" s="190">
        <v>116.6666666666667</v>
      </c>
      <c r="CN7" s="190">
        <v>88.888888888888886</v>
      </c>
      <c r="CO7" s="190">
        <v>90.555555555555557</v>
      </c>
      <c r="CP7" s="190">
        <v>90</v>
      </c>
      <c r="CQ7" s="190">
        <v>90</v>
      </c>
      <c r="CR7" s="190">
        <v>101.3888888888889</v>
      </c>
      <c r="CS7" s="190">
        <v>98.333333333333329</v>
      </c>
      <c r="CT7" s="190">
        <v>90.277777777777771</v>
      </c>
    </row>
    <row r="8" spans="1:98">
      <c r="A8" s="190" t="s">
        <v>775</v>
      </c>
      <c r="B8" s="190" t="s">
        <v>776</v>
      </c>
      <c r="C8" s="190" t="s">
        <v>777</v>
      </c>
      <c r="D8" s="190">
        <v>242</v>
      </c>
      <c r="E8" s="190">
        <v>166.5</v>
      </c>
      <c r="F8" s="190">
        <v>166.5</v>
      </c>
      <c r="G8" s="190">
        <v>167.98729062880011</v>
      </c>
      <c r="H8" s="190">
        <v>147.68760051778921</v>
      </c>
      <c r="I8" s="190">
        <v>139.45004511042251</v>
      </c>
      <c r="J8" s="190">
        <v>133.07574628329351</v>
      </c>
      <c r="K8" s="190">
        <v>130.23182834503589</v>
      </c>
      <c r="L8" s="190">
        <v>127.3879104067783</v>
      </c>
      <c r="M8" s="190">
        <v>124.2497940611148</v>
      </c>
      <c r="N8" s="190">
        <v>166.71243086337429</v>
      </c>
      <c r="O8" s="190">
        <v>170.6350762954537</v>
      </c>
      <c r="P8" s="190">
        <v>166.71243086337429</v>
      </c>
      <c r="Q8" s="190">
        <v>165.73176950535441</v>
      </c>
      <c r="R8" s="190">
        <v>169.9486133448398</v>
      </c>
      <c r="S8" s="190">
        <v>147.09920370297729</v>
      </c>
      <c r="T8" s="190">
        <v>147.09920370297729</v>
      </c>
      <c r="U8" s="190">
        <v>149.06052641901701</v>
      </c>
      <c r="V8" s="190">
        <v>144.15721962891769</v>
      </c>
      <c r="W8" s="190">
        <v>151.11991527085871</v>
      </c>
      <c r="X8" s="190">
        <v>144.15721962891769</v>
      </c>
      <c r="Y8" s="190">
        <v>144.15721962891769</v>
      </c>
      <c r="Z8" s="190">
        <v>127.4859765425803</v>
      </c>
      <c r="AA8" s="190">
        <v>147.09920370297729</v>
      </c>
      <c r="AB8" s="190">
        <v>147.09920370297729</v>
      </c>
      <c r="AC8" s="190">
        <v>144.15721962891769</v>
      </c>
      <c r="AD8" s="190">
        <v>147.09920370297729</v>
      </c>
      <c r="AE8" s="190">
        <v>126.5053151845605</v>
      </c>
      <c r="AF8" s="190">
        <v>134.3506060487193</v>
      </c>
      <c r="AG8" s="190">
        <v>147.09920370297729</v>
      </c>
      <c r="AH8" s="190">
        <v>147.09920370297729</v>
      </c>
      <c r="AI8" s="190">
        <v>132.38928333267961</v>
      </c>
      <c r="AJ8" s="190">
        <v>126.5053151845605</v>
      </c>
      <c r="AK8" s="190">
        <v>126.5053151845605</v>
      </c>
      <c r="AL8" s="190">
        <v>144.15721962891769</v>
      </c>
      <c r="AM8" s="190">
        <v>147.09920370297729</v>
      </c>
      <c r="AN8" s="190">
        <v>144.15721962891769</v>
      </c>
      <c r="AO8" s="190">
        <v>143.17655827089791</v>
      </c>
      <c r="AP8" s="190">
        <v>120.62134703644141</v>
      </c>
      <c r="AQ8" s="190">
        <v>124.5439924685208</v>
      </c>
      <c r="AR8" s="190">
        <v>147.09920370297729</v>
      </c>
      <c r="AS8" s="190">
        <v>147.09920370297729</v>
      </c>
      <c r="AT8" s="190">
        <v>127.4859765425803</v>
      </c>
      <c r="AU8" s="190">
        <v>127.4859765425803</v>
      </c>
      <c r="AV8" s="190">
        <v>127.4859765425803</v>
      </c>
      <c r="AW8" s="190">
        <v>134.3506060487193</v>
      </c>
      <c r="AX8" s="190">
        <v>147.09920370297729</v>
      </c>
      <c r="AY8" s="190">
        <v>127.4859765425803</v>
      </c>
      <c r="AZ8" s="190">
        <v>147.09920370297729</v>
      </c>
      <c r="BA8" s="190">
        <v>147.09920370297729</v>
      </c>
      <c r="BB8" s="190">
        <v>147.09920370297729</v>
      </c>
      <c r="BC8" s="190">
        <v>147.09920370297729</v>
      </c>
      <c r="BD8" s="190">
        <v>147.09920370297729</v>
      </c>
      <c r="BE8" s="190">
        <v>144.15721962891769</v>
      </c>
      <c r="BF8" s="190">
        <v>144.15721962891769</v>
      </c>
      <c r="BG8" s="190">
        <v>144.15721962891769</v>
      </c>
      <c r="BH8" s="190">
        <v>144.2552857647197</v>
      </c>
      <c r="BI8" s="190">
        <v>133.36994469069941</v>
      </c>
      <c r="BJ8" s="190">
        <v>133.36994469069941</v>
      </c>
      <c r="BK8" s="190">
        <v>144.15721962891769</v>
      </c>
      <c r="BL8" s="190">
        <v>144.2552857647197</v>
      </c>
      <c r="BM8" s="190">
        <v>127.4859765425803</v>
      </c>
      <c r="BN8" s="190">
        <v>147.09920370297729</v>
      </c>
      <c r="BO8" s="190">
        <v>147.09920370297729</v>
      </c>
      <c r="BP8" s="190">
        <v>147.09920370297729</v>
      </c>
      <c r="BQ8" s="190">
        <v>147.09920370297729</v>
      </c>
      <c r="BR8" s="190">
        <v>147.09920370297729</v>
      </c>
      <c r="BS8" s="190">
        <v>125.0343231475307</v>
      </c>
      <c r="BT8" s="190">
        <v>127.4859765425803</v>
      </c>
      <c r="BU8" s="190">
        <v>144.2552857647197</v>
      </c>
      <c r="BV8" s="190">
        <v>130.42796061663989</v>
      </c>
      <c r="BW8" s="190">
        <v>124.5439924685208</v>
      </c>
      <c r="BX8" s="190">
        <v>132.68348174008551</v>
      </c>
      <c r="BY8" s="190">
        <v>133.36994469069941</v>
      </c>
      <c r="BZ8" s="190">
        <v>127.4859765425803</v>
      </c>
      <c r="CA8" s="190">
        <v>127.4859765425803</v>
      </c>
      <c r="CB8" s="190">
        <v>127.4859765425803</v>
      </c>
      <c r="CC8" s="190">
        <v>138.27325148079859</v>
      </c>
      <c r="CD8" s="190">
        <v>127.8782410857883</v>
      </c>
      <c r="CE8" s="190">
        <v>127.4859765425803</v>
      </c>
      <c r="CF8" s="190">
        <v>126.3091829129565</v>
      </c>
      <c r="CG8" s="190">
        <v>127.4859765425803</v>
      </c>
      <c r="CH8" s="190">
        <v>124.5439924685208</v>
      </c>
      <c r="CI8" s="190">
        <v>125.1323892833327</v>
      </c>
      <c r="CJ8" s="190">
        <v>130.42796061663989</v>
      </c>
      <c r="CK8" s="190">
        <v>127.4859765425803</v>
      </c>
      <c r="CL8" s="190">
        <v>129.44729925862001</v>
      </c>
      <c r="CM8" s="190">
        <v>88.259522221786369</v>
      </c>
      <c r="CN8" s="190">
        <v>127.8782410857883</v>
      </c>
      <c r="CO8" s="190">
        <v>127.4859765425803</v>
      </c>
      <c r="CP8" s="190">
        <v>126.5053151845605</v>
      </c>
      <c r="CQ8" s="190">
        <v>136.31192876475899</v>
      </c>
      <c r="CR8" s="190">
        <v>134.8409367277292</v>
      </c>
      <c r="CS8" s="190">
        <v>125.5246538265406</v>
      </c>
      <c r="CT8" s="190">
        <v>127.4859765425803</v>
      </c>
    </row>
    <row r="9" spans="1:98">
      <c r="A9" s="190" t="s">
        <v>778</v>
      </c>
      <c r="B9" s="190" t="s">
        <v>43</v>
      </c>
      <c r="C9" s="190" t="s">
        <v>779</v>
      </c>
      <c r="D9" s="190">
        <v>593</v>
      </c>
      <c r="E9" s="190">
        <v>566</v>
      </c>
      <c r="F9" s="190">
        <v>566</v>
      </c>
      <c r="G9" s="190">
        <v>537.6</v>
      </c>
      <c r="H9" s="190">
        <v>537.6</v>
      </c>
      <c r="I9" s="190">
        <v>537.29999999999995</v>
      </c>
      <c r="J9" s="190">
        <v>538</v>
      </c>
      <c r="K9" s="190">
        <v>539</v>
      </c>
      <c r="L9" s="190">
        <v>537.4</v>
      </c>
      <c r="M9" s="190">
        <v>537.5</v>
      </c>
      <c r="N9" s="190">
        <v>537</v>
      </c>
      <c r="O9" s="190">
        <v>538</v>
      </c>
      <c r="P9" s="190">
        <v>537</v>
      </c>
      <c r="Q9" s="190">
        <v>538</v>
      </c>
      <c r="R9" s="190">
        <v>538</v>
      </c>
      <c r="S9" s="190">
        <v>537</v>
      </c>
      <c r="T9" s="190">
        <v>537</v>
      </c>
      <c r="U9" s="190">
        <v>537</v>
      </c>
      <c r="V9" s="190">
        <v>537</v>
      </c>
      <c r="W9" s="190">
        <v>540</v>
      </c>
      <c r="X9" s="190">
        <v>540</v>
      </c>
      <c r="Y9" s="190">
        <v>537</v>
      </c>
      <c r="Z9" s="190">
        <v>540</v>
      </c>
      <c r="AA9" s="190">
        <v>539</v>
      </c>
      <c r="AB9" s="190">
        <v>540</v>
      </c>
      <c r="AC9" s="190">
        <v>535</v>
      </c>
      <c r="AD9" s="190">
        <v>540</v>
      </c>
      <c r="AE9" s="190">
        <v>535</v>
      </c>
      <c r="AF9" s="190">
        <v>540</v>
      </c>
      <c r="AG9" s="190">
        <v>540</v>
      </c>
      <c r="AH9" s="190">
        <v>540</v>
      </c>
      <c r="AI9" s="190">
        <v>540</v>
      </c>
      <c r="AJ9" s="190">
        <v>540</v>
      </c>
      <c r="AK9" s="190">
        <v>540</v>
      </c>
      <c r="AL9" s="190">
        <v>535</v>
      </c>
      <c r="AM9" s="190">
        <v>540</v>
      </c>
      <c r="AN9" s="190">
        <v>540</v>
      </c>
      <c r="AO9" s="190">
        <v>540</v>
      </c>
      <c r="AP9" s="190">
        <v>535</v>
      </c>
      <c r="AQ9" s="190">
        <v>535</v>
      </c>
      <c r="AR9" s="190">
        <v>540</v>
      </c>
      <c r="AS9" s="190">
        <v>535</v>
      </c>
      <c r="AT9" s="190">
        <v>535</v>
      </c>
      <c r="AU9" s="190">
        <v>535</v>
      </c>
      <c r="AV9" s="190">
        <v>535</v>
      </c>
      <c r="AW9" s="190">
        <v>535</v>
      </c>
      <c r="AX9" s="190">
        <v>535</v>
      </c>
      <c r="AY9" s="190">
        <v>540</v>
      </c>
      <c r="AZ9" s="190">
        <v>535</v>
      </c>
      <c r="BA9" s="190">
        <v>535</v>
      </c>
      <c r="BB9" s="190">
        <v>535</v>
      </c>
      <c r="BC9" s="190">
        <v>535</v>
      </c>
      <c r="BD9" s="190">
        <v>535</v>
      </c>
      <c r="BE9" s="190">
        <v>535</v>
      </c>
      <c r="BF9" s="190">
        <v>535</v>
      </c>
      <c r="BG9" s="190">
        <v>535</v>
      </c>
      <c r="BH9" s="190">
        <v>535</v>
      </c>
      <c r="BI9" s="190">
        <v>540</v>
      </c>
      <c r="BJ9" s="190">
        <v>540</v>
      </c>
      <c r="BK9" s="190">
        <v>539</v>
      </c>
      <c r="BL9" s="190">
        <v>535</v>
      </c>
      <c r="BM9" s="190">
        <v>535</v>
      </c>
      <c r="BN9" s="190">
        <v>535</v>
      </c>
      <c r="BO9" s="190">
        <v>540</v>
      </c>
      <c r="BP9" s="190">
        <v>540</v>
      </c>
      <c r="BQ9" s="190">
        <v>540</v>
      </c>
      <c r="BR9" s="190">
        <v>537</v>
      </c>
      <c r="BS9" s="190">
        <v>535</v>
      </c>
      <c r="BT9" s="190">
        <v>535</v>
      </c>
      <c r="BU9" s="190">
        <v>540</v>
      </c>
      <c r="BV9" s="190">
        <v>535</v>
      </c>
      <c r="BW9" s="190">
        <v>535</v>
      </c>
      <c r="BX9" s="190">
        <v>540</v>
      </c>
      <c r="BY9" s="190">
        <v>540</v>
      </c>
      <c r="BZ9" s="190">
        <v>538</v>
      </c>
      <c r="CA9" s="190">
        <v>540</v>
      </c>
      <c r="CB9" s="190">
        <v>535</v>
      </c>
      <c r="CC9" s="190">
        <v>543</v>
      </c>
      <c r="CD9" s="190">
        <v>540</v>
      </c>
      <c r="CE9" s="190">
        <v>535</v>
      </c>
      <c r="CF9" s="190">
        <v>537</v>
      </c>
      <c r="CG9" s="190">
        <v>535</v>
      </c>
      <c r="CH9" s="190">
        <v>537</v>
      </c>
      <c r="CI9" s="190">
        <v>537.79999999999995</v>
      </c>
      <c r="CJ9" s="190">
        <v>540</v>
      </c>
      <c r="CK9" s="190">
        <v>535</v>
      </c>
      <c r="CL9" s="190">
        <v>540</v>
      </c>
      <c r="CM9" s="190">
        <v>535</v>
      </c>
      <c r="CN9" s="190">
        <v>535</v>
      </c>
      <c r="CO9" s="190">
        <v>535</v>
      </c>
      <c r="CP9" s="190">
        <v>540</v>
      </c>
      <c r="CQ9" s="190">
        <v>540</v>
      </c>
      <c r="CR9" s="190">
        <v>540</v>
      </c>
      <c r="CS9" s="190">
        <v>535</v>
      </c>
      <c r="CT9" s="190">
        <v>540</v>
      </c>
    </row>
    <row r="10" spans="1:98">
      <c r="A10" s="190" t="s">
        <v>780</v>
      </c>
      <c r="D10" s="190" t="s">
        <v>73</v>
      </c>
      <c r="E10" s="190" t="s">
        <v>73</v>
      </c>
      <c r="F10" s="190" t="s">
        <v>73</v>
      </c>
      <c r="G10" s="190" t="s">
        <v>781</v>
      </c>
      <c r="H10" s="190" t="s">
        <v>781</v>
      </c>
      <c r="I10" s="190" t="s">
        <v>781</v>
      </c>
      <c r="J10" s="190" t="s">
        <v>781</v>
      </c>
      <c r="K10" s="190" t="s">
        <v>781</v>
      </c>
      <c r="L10" s="190" t="s">
        <v>781</v>
      </c>
      <c r="M10" s="190" t="s">
        <v>781</v>
      </c>
      <c r="N10" s="190">
        <v>0</v>
      </c>
      <c r="O10" s="190">
        <v>0</v>
      </c>
      <c r="P10" s="190">
        <v>0</v>
      </c>
      <c r="Q10" s="190">
        <v>0</v>
      </c>
      <c r="R10" s="190">
        <v>0</v>
      </c>
      <c r="S10" s="190">
        <v>0</v>
      </c>
      <c r="T10" s="190">
        <v>0</v>
      </c>
      <c r="U10" s="190">
        <v>0</v>
      </c>
      <c r="V10" s="190">
        <v>0</v>
      </c>
      <c r="W10" s="190">
        <v>0</v>
      </c>
      <c r="X10" s="190">
        <v>0</v>
      </c>
      <c r="Y10" s="190">
        <v>0</v>
      </c>
      <c r="Z10" s="190">
        <v>0</v>
      </c>
      <c r="AA10" s="190">
        <v>0</v>
      </c>
      <c r="AB10" s="190">
        <v>0</v>
      </c>
      <c r="AC10" s="190">
        <v>0</v>
      </c>
      <c r="AD10" s="190">
        <v>0</v>
      </c>
      <c r="AE10" s="190">
        <v>0</v>
      </c>
      <c r="AF10" s="190">
        <v>0</v>
      </c>
      <c r="AG10" s="190">
        <v>0</v>
      </c>
      <c r="AH10" s="190">
        <v>0</v>
      </c>
      <c r="AI10" s="190">
        <v>0</v>
      </c>
      <c r="AJ10" s="190">
        <v>0</v>
      </c>
      <c r="AK10" s="190">
        <v>0</v>
      </c>
      <c r="AL10" s="190">
        <v>0</v>
      </c>
      <c r="AM10" s="190">
        <v>0</v>
      </c>
      <c r="AN10" s="190">
        <v>0</v>
      </c>
      <c r="AO10" s="190">
        <v>0</v>
      </c>
      <c r="AP10" s="190">
        <v>0</v>
      </c>
      <c r="AQ10" s="190">
        <v>0</v>
      </c>
      <c r="AR10" s="190">
        <v>0</v>
      </c>
      <c r="AS10" s="190">
        <v>0</v>
      </c>
      <c r="AT10" s="190">
        <v>0</v>
      </c>
      <c r="AU10" s="190">
        <v>0</v>
      </c>
      <c r="AV10" s="190">
        <v>0</v>
      </c>
      <c r="AW10" s="190">
        <v>0</v>
      </c>
      <c r="AX10" s="190">
        <v>0</v>
      </c>
      <c r="AY10" s="190">
        <v>0</v>
      </c>
      <c r="AZ10" s="190">
        <v>0</v>
      </c>
      <c r="BA10" s="190">
        <v>0</v>
      </c>
      <c r="BB10" s="190">
        <v>0</v>
      </c>
      <c r="BC10" s="190">
        <v>0</v>
      </c>
      <c r="BD10" s="190">
        <v>0</v>
      </c>
      <c r="BE10" s="190">
        <v>0</v>
      </c>
      <c r="BF10" s="190">
        <v>0</v>
      </c>
      <c r="BG10" s="190">
        <v>0</v>
      </c>
      <c r="BH10" s="190">
        <v>0</v>
      </c>
      <c r="BI10" s="190">
        <v>0</v>
      </c>
      <c r="BJ10" s="190">
        <v>0</v>
      </c>
      <c r="BK10" s="190">
        <v>0</v>
      </c>
      <c r="BL10" s="190">
        <v>0</v>
      </c>
      <c r="BM10" s="190">
        <v>0</v>
      </c>
      <c r="BN10" s="190">
        <v>0</v>
      </c>
      <c r="BO10" s="190">
        <v>0</v>
      </c>
      <c r="BP10" s="190">
        <v>0</v>
      </c>
      <c r="BQ10" s="190">
        <v>0</v>
      </c>
      <c r="BR10" s="190">
        <v>0</v>
      </c>
      <c r="BS10" s="190">
        <v>0</v>
      </c>
      <c r="BT10" s="190">
        <v>0</v>
      </c>
      <c r="BU10" s="190">
        <v>0</v>
      </c>
      <c r="BV10" s="190">
        <v>0</v>
      </c>
      <c r="BW10" s="190">
        <v>0</v>
      </c>
      <c r="BX10" s="190">
        <v>0</v>
      </c>
      <c r="BY10" s="190">
        <v>0</v>
      </c>
      <c r="BZ10" s="190">
        <v>0</v>
      </c>
      <c r="CA10" s="190">
        <v>0</v>
      </c>
      <c r="CB10" s="190">
        <v>0</v>
      </c>
      <c r="CC10" s="190">
        <v>0</v>
      </c>
      <c r="CD10" s="190">
        <v>0</v>
      </c>
      <c r="CE10" s="190">
        <v>0</v>
      </c>
      <c r="CF10" s="190">
        <v>0</v>
      </c>
      <c r="CG10" s="190">
        <v>0</v>
      </c>
      <c r="CH10" s="190">
        <v>0</v>
      </c>
      <c r="CI10" s="190">
        <v>0</v>
      </c>
      <c r="CJ10" s="190">
        <v>0</v>
      </c>
      <c r="CK10" s="190">
        <v>0</v>
      </c>
      <c r="CL10" s="190">
        <v>0</v>
      </c>
      <c r="CM10" s="190">
        <v>0</v>
      </c>
      <c r="CN10" s="190">
        <v>0</v>
      </c>
      <c r="CO10" s="190">
        <v>0</v>
      </c>
      <c r="CP10" s="190">
        <v>0</v>
      </c>
      <c r="CQ10" s="190">
        <v>0</v>
      </c>
      <c r="CR10" s="190">
        <v>0</v>
      </c>
      <c r="CS10" s="190">
        <v>0</v>
      </c>
      <c r="CT10" s="190">
        <v>0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2209-79D4-C64C-AACF-012D049304FB}">
  <dimension ref="A1:H10"/>
  <sheetViews>
    <sheetView zoomScale="92" workbookViewId="0">
      <selection activeCell="D18" sqref="D18"/>
    </sheetView>
  </sheetViews>
  <sheetFormatPr baseColWidth="10" defaultColWidth="11" defaultRowHeight="16"/>
  <cols>
    <col min="1" max="1" width="19.1640625" style="190" customWidth="1"/>
    <col min="2" max="2" width="8.83203125" style="190"/>
    <col min="3" max="3" width="37.1640625" style="190" customWidth="1"/>
    <col min="4" max="8" width="8.83203125" style="190"/>
  </cols>
  <sheetData>
    <row r="1" spans="1:8" ht="17" thickBot="1"/>
    <row r="2" spans="1:8">
      <c r="A2" s="437" t="s">
        <v>1</v>
      </c>
      <c r="B2" s="438" t="s">
        <v>3</v>
      </c>
      <c r="C2" s="438" t="s">
        <v>4</v>
      </c>
      <c r="D2" s="439" t="s">
        <v>805</v>
      </c>
      <c r="E2" s="439" t="s">
        <v>806</v>
      </c>
      <c r="F2" s="439" t="s">
        <v>807</v>
      </c>
      <c r="G2" s="439" t="s">
        <v>808</v>
      </c>
      <c r="H2" s="440" t="s">
        <v>809</v>
      </c>
    </row>
    <row r="3" spans="1:8">
      <c r="A3" s="441" t="s">
        <v>523</v>
      </c>
      <c r="B3" s="442" t="s">
        <v>59</v>
      </c>
      <c r="C3" s="442" t="s">
        <v>767</v>
      </c>
      <c r="D3" s="442">
        <v>500</v>
      </c>
      <c r="E3" s="442">
        <v>500</v>
      </c>
      <c r="F3" s="442">
        <v>500</v>
      </c>
      <c r="G3" s="442">
        <v>500</v>
      </c>
      <c r="H3" s="443">
        <v>500.21</v>
      </c>
    </row>
    <row r="4" spans="1:8">
      <c r="A4" s="441" t="s">
        <v>173</v>
      </c>
      <c r="B4" s="442" t="s">
        <v>47</v>
      </c>
      <c r="C4" s="442" t="s">
        <v>768</v>
      </c>
      <c r="D4" s="442">
        <v>0.43631896551724142</v>
      </c>
      <c r="E4" s="442">
        <v>0.43631896551724142</v>
      </c>
      <c r="F4" s="442">
        <v>0.43631896551724142</v>
      </c>
      <c r="G4" s="442">
        <v>0.43361437282668952</v>
      </c>
      <c r="H4" s="443">
        <v>0.43416136845292158</v>
      </c>
    </row>
    <row r="5" spans="1:8">
      <c r="A5" s="441" t="s">
        <v>769</v>
      </c>
      <c r="B5" s="442" t="s">
        <v>59</v>
      </c>
      <c r="C5" s="442" t="s">
        <v>770</v>
      </c>
      <c r="D5" s="442">
        <v>1.9345000000000001</v>
      </c>
      <c r="E5" s="442">
        <v>1.9345000000000001</v>
      </c>
      <c r="F5" s="442">
        <v>1.9345000000000001</v>
      </c>
      <c r="G5" s="442">
        <v>1.9345000000000001</v>
      </c>
      <c r="H5" s="443">
        <v>1.9353124900000001</v>
      </c>
    </row>
    <row r="6" spans="1:8">
      <c r="A6" s="441" t="s">
        <v>771</v>
      </c>
      <c r="B6" s="442" t="s">
        <v>59</v>
      </c>
      <c r="C6" s="442" t="s">
        <v>772</v>
      </c>
      <c r="D6" s="442">
        <v>43.45</v>
      </c>
      <c r="E6" s="442">
        <v>38.549999999999997</v>
      </c>
      <c r="F6" s="442">
        <v>39.049999999999997</v>
      </c>
      <c r="G6" s="442">
        <v>37.549999999999997</v>
      </c>
      <c r="H6" s="443">
        <v>37.515749999999997</v>
      </c>
    </row>
    <row r="7" spans="1:8">
      <c r="A7" s="441" t="s">
        <v>773</v>
      </c>
      <c r="B7" s="442" t="s">
        <v>559</v>
      </c>
      <c r="C7" s="442" t="s">
        <v>774</v>
      </c>
      <c r="D7" s="442">
        <v>423.33333333333331</v>
      </c>
      <c r="E7" s="442">
        <v>423.33333333333331</v>
      </c>
      <c r="F7" s="442">
        <v>423.33333333333331</v>
      </c>
      <c r="G7" s="442">
        <v>418.83333333333331</v>
      </c>
      <c r="H7" s="443">
        <v>419.16666666666669</v>
      </c>
    </row>
    <row r="8" spans="1:8">
      <c r="A8" s="441" t="s">
        <v>775</v>
      </c>
      <c r="B8" s="442" t="s">
        <v>776</v>
      </c>
      <c r="C8" s="442" t="s">
        <v>777</v>
      </c>
      <c r="D8" s="442">
        <v>166.71243086337429</v>
      </c>
      <c r="E8" s="442">
        <v>170.6350762954537</v>
      </c>
      <c r="F8" s="442">
        <v>166.71243086337429</v>
      </c>
      <c r="G8" s="442">
        <v>165.73176950535441</v>
      </c>
      <c r="H8" s="443">
        <v>169.9486133448398</v>
      </c>
    </row>
    <row r="9" spans="1:8">
      <c r="A9" s="441" t="s">
        <v>778</v>
      </c>
      <c r="B9" s="442" t="s">
        <v>43</v>
      </c>
      <c r="C9" s="442" t="s">
        <v>779</v>
      </c>
      <c r="D9" s="442">
        <v>537</v>
      </c>
      <c r="E9" s="442">
        <v>538</v>
      </c>
      <c r="F9" s="442">
        <v>537</v>
      </c>
      <c r="G9" s="442">
        <v>538</v>
      </c>
      <c r="H9" s="443">
        <v>538</v>
      </c>
    </row>
    <row r="10" spans="1:8" ht="17" thickBot="1">
      <c r="A10" s="444" t="s">
        <v>780</v>
      </c>
      <c r="B10" s="221"/>
      <c r="C10" s="221"/>
      <c r="D10" s="221">
        <v>0</v>
      </c>
      <c r="E10" s="221">
        <v>0</v>
      </c>
      <c r="F10" s="221">
        <v>0</v>
      </c>
      <c r="G10" s="221">
        <v>0</v>
      </c>
      <c r="H10" s="44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FEBC-9931-DB47-A61F-11216313FA54}">
  <dimension ref="B2:D9"/>
  <sheetViews>
    <sheetView topLeftCell="A7" workbookViewId="0">
      <selection activeCell="D6" sqref="D6"/>
    </sheetView>
  </sheetViews>
  <sheetFormatPr baseColWidth="10" defaultColWidth="11" defaultRowHeight="16"/>
  <cols>
    <col min="2" max="2" width="25" customWidth="1"/>
    <col min="3" max="3" width="24" customWidth="1"/>
    <col min="4" max="4" width="19.5" customWidth="1"/>
  </cols>
  <sheetData>
    <row r="2" spans="2:4" ht="17">
      <c r="B2" s="8" t="s">
        <v>890</v>
      </c>
      <c r="C2" s="8" t="s">
        <v>891</v>
      </c>
      <c r="D2" s="8" t="s">
        <v>5</v>
      </c>
    </row>
    <row r="3" spans="2:4" ht="17">
      <c r="B3" s="7" t="s">
        <v>892</v>
      </c>
      <c r="C3" s="7"/>
      <c r="D3" s="7"/>
    </row>
    <row r="4" spans="2:4" ht="17">
      <c r="B4" s="7" t="s">
        <v>893</v>
      </c>
      <c r="C4" s="7"/>
      <c r="D4" s="7"/>
    </row>
    <row r="5" spans="2:4" ht="68">
      <c r="B5" t="s">
        <v>894</v>
      </c>
    </row>
    <row r="6" spans="2:4" ht="85">
      <c r="B6" t="s">
        <v>895</v>
      </c>
      <c r="D6">
        <v>15</v>
      </c>
    </row>
    <row r="7" spans="2:4" ht="119">
      <c r="C7" t="s">
        <v>896</v>
      </c>
    </row>
    <row r="8" spans="2:4" ht="102">
      <c r="B8" t="s">
        <v>897</v>
      </c>
      <c r="C8" t="s">
        <v>898</v>
      </c>
    </row>
    <row r="9" spans="2:4" ht="85">
      <c r="B9" t="s">
        <v>899</v>
      </c>
      <c r="C9" t="s">
        <v>900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3002-FD5E-9247-A8B1-AE5300DD935B}">
  <dimension ref="C1:N36"/>
  <sheetViews>
    <sheetView zoomScale="81" workbookViewId="0">
      <selection activeCell="L33" sqref="L33"/>
    </sheetView>
  </sheetViews>
  <sheetFormatPr baseColWidth="10" defaultColWidth="11" defaultRowHeight="16"/>
  <cols>
    <col min="3" max="3" width="14" customWidth="1"/>
    <col min="4" max="4" width="20.33203125" customWidth="1"/>
    <col min="5" max="5" width="17" customWidth="1"/>
    <col min="6" max="6" width="23" customWidth="1"/>
    <col min="7" max="7" width="27.83203125" customWidth="1"/>
    <col min="8" max="8" width="26.1640625" customWidth="1"/>
    <col min="9" max="9" width="26.6640625" customWidth="1"/>
    <col min="10" max="10" width="26.1640625" customWidth="1"/>
    <col min="11" max="11" width="26" customWidth="1"/>
    <col min="12" max="12" width="34.5" customWidth="1"/>
    <col min="13" max="14" width="12.33203125" bestFit="1" customWidth="1"/>
  </cols>
  <sheetData>
    <row r="1" spans="3:14" ht="17" thickBot="1">
      <c r="C1" s="226"/>
      <c r="D1" s="227" t="s">
        <v>901</v>
      </c>
      <c r="E1" s="227" t="s">
        <v>902</v>
      </c>
      <c r="F1" s="227" t="s">
        <v>468</v>
      </c>
      <c r="G1" s="227" t="s">
        <v>903</v>
      </c>
      <c r="H1" s="227" t="s">
        <v>904</v>
      </c>
      <c r="I1" s="227" t="s">
        <v>905</v>
      </c>
      <c r="J1" s="228" t="s">
        <v>906</v>
      </c>
      <c r="K1" s="222" t="s">
        <v>907</v>
      </c>
      <c r="L1" s="222" t="s">
        <v>908</v>
      </c>
    </row>
    <row r="2" spans="3:14" ht="136" customHeight="1" thickBot="1">
      <c r="C2" s="230" t="s">
        <v>909</v>
      </c>
      <c r="D2" s="231" t="s">
        <v>910</v>
      </c>
      <c r="E2" s="231" t="s">
        <v>911</v>
      </c>
      <c r="F2" s="232" t="s">
        <v>912</v>
      </c>
      <c r="G2" s="232" t="s">
        <v>913</v>
      </c>
      <c r="H2" s="232" t="s">
        <v>914</v>
      </c>
      <c r="I2" s="232" t="s">
        <v>915</v>
      </c>
      <c r="J2" s="233" t="s">
        <v>916</v>
      </c>
      <c r="K2" s="229" t="s">
        <v>917</v>
      </c>
      <c r="L2" s="229" t="s">
        <v>918</v>
      </c>
      <c r="M2" s="250" t="s">
        <v>919</v>
      </c>
      <c r="N2" s="234" t="s">
        <v>920</v>
      </c>
    </row>
    <row r="3" spans="3:14">
      <c r="C3" s="218">
        <v>0</v>
      </c>
      <c r="D3" s="190">
        <v>3</v>
      </c>
      <c r="E3" s="244">
        <v>54.696112329012877</v>
      </c>
      <c r="F3" s="241">
        <v>0.39510000000000001</v>
      </c>
      <c r="G3" s="244">
        <v>2481.887513444944</v>
      </c>
      <c r="H3" s="244">
        <v>5760.7613600548157</v>
      </c>
      <c r="I3" s="244">
        <v>56662.197144094323</v>
      </c>
      <c r="J3" s="245">
        <v>20226.8202114706</v>
      </c>
      <c r="K3" s="240">
        <f>I3+(('Calculation Upgrade Costs'!$L$12))</f>
        <v>422893.19714409433</v>
      </c>
      <c r="L3" s="235">
        <f>K3*F3</f>
        <v>167085.10219163168</v>
      </c>
      <c r="M3">
        <f>F3*$D$33</f>
        <v>333.85950000000003</v>
      </c>
      <c r="N3">
        <f>70/M3</f>
        <v>0.20966903742442553</v>
      </c>
    </row>
    <row r="4" spans="3:14">
      <c r="C4" s="219">
        <v>1</v>
      </c>
      <c r="D4" s="190">
        <v>1</v>
      </c>
      <c r="E4" s="244">
        <v>108.241977482343</v>
      </c>
      <c r="F4" s="241">
        <v>1.0900000000000001</v>
      </c>
      <c r="G4" s="244">
        <v>15844.78149274062</v>
      </c>
      <c r="H4" s="244">
        <v>4469.441251127796</v>
      </c>
      <c r="I4" s="244">
        <v>44188.368663069239</v>
      </c>
      <c r="J4" s="245">
        <v>20226.820211470589</v>
      </c>
      <c r="K4" s="238">
        <f>I4+(('Calculation Upgrade Costs'!$L$12))</f>
        <v>410419.36866306921</v>
      </c>
      <c r="L4" s="235">
        <f t="shared" ref="L4:L28" si="0">K4*F4</f>
        <v>447357.11184274545</v>
      </c>
      <c r="M4">
        <f t="shared" ref="M4:M28" si="1">F4*$D$33</f>
        <v>921.05000000000007</v>
      </c>
      <c r="N4">
        <f t="shared" ref="N4:N28" si="2">70/M4</f>
        <v>7.6000217143477544E-2</v>
      </c>
    </row>
    <row r="5" spans="3:14">
      <c r="C5" s="219">
        <v>2</v>
      </c>
      <c r="D5" s="190">
        <v>6</v>
      </c>
      <c r="E5" s="244">
        <v>123.5395170935986</v>
      </c>
      <c r="F5" s="241">
        <v>0.22289999999999999</v>
      </c>
      <c r="G5" s="244">
        <v>1370.0231589237881</v>
      </c>
      <c r="H5" s="244">
        <v>3681.429399393146</v>
      </c>
      <c r="I5" s="244">
        <v>42600.989658781436</v>
      </c>
      <c r="J5" s="245">
        <v>20226.8202114706</v>
      </c>
      <c r="K5" s="238">
        <f>I5+(('Calculation Upgrade Costs'!$L$12))</f>
        <v>408831.98965878144</v>
      </c>
      <c r="L5" s="235">
        <f t="shared" si="0"/>
        <v>91128.650494942383</v>
      </c>
      <c r="M5">
        <f t="shared" si="1"/>
        <v>188.35049999999998</v>
      </c>
      <c r="N5">
        <f t="shared" si="2"/>
        <v>0.37164754009147843</v>
      </c>
    </row>
    <row r="6" spans="3:14">
      <c r="C6" s="219">
        <v>3</v>
      </c>
      <c r="D6" s="190">
        <v>7</v>
      </c>
      <c r="E6" s="244">
        <v>54.696112329012877</v>
      </c>
      <c r="F6" s="241">
        <v>0.19869999999999999</v>
      </c>
      <c r="G6" s="244">
        <v>414.7139521644026</v>
      </c>
      <c r="H6" s="244">
        <v>3174.4839974459419</v>
      </c>
      <c r="I6" s="244">
        <v>56662.197144094323</v>
      </c>
      <c r="J6" s="245">
        <v>20226.8202114706</v>
      </c>
      <c r="K6" s="238">
        <f>I6+(('Calculation Upgrade Costs'!$L$12))</f>
        <v>422893.19714409433</v>
      </c>
      <c r="L6" s="235">
        <f t="shared" si="0"/>
        <v>84028.87827253154</v>
      </c>
      <c r="M6">
        <f t="shared" si="1"/>
        <v>167.9015</v>
      </c>
      <c r="N6">
        <f t="shared" si="2"/>
        <v>0.41691110561847272</v>
      </c>
    </row>
    <row r="7" spans="3:14" ht="17" thickBot="1">
      <c r="C7" s="220">
        <v>4</v>
      </c>
      <c r="D7" s="221">
        <v>6</v>
      </c>
      <c r="E7" s="246">
        <v>252.40052900296479</v>
      </c>
      <c r="F7" s="242">
        <v>0.22289999999999999</v>
      </c>
      <c r="G7" s="246">
        <v>2292.2151071521189</v>
      </c>
      <c r="H7" s="246">
        <v>2740.8841563892788</v>
      </c>
      <c r="I7" s="246">
        <v>34064.707052092912</v>
      </c>
      <c r="J7" s="247">
        <v>20226.8202114706</v>
      </c>
      <c r="K7" s="239">
        <f>I7+(('Calculation Upgrade Costs'!$L$12))</f>
        <v>400295.70705209288</v>
      </c>
      <c r="L7" s="236">
        <f t="shared" si="0"/>
        <v>89225.913101911501</v>
      </c>
      <c r="M7">
        <f t="shared" si="1"/>
        <v>188.35049999999998</v>
      </c>
      <c r="N7">
        <f t="shared" si="2"/>
        <v>0.37164754009147843</v>
      </c>
    </row>
    <row r="8" spans="3:14">
      <c r="C8" s="224">
        <v>5</v>
      </c>
      <c r="D8" s="225">
        <v>16</v>
      </c>
      <c r="E8" s="248">
        <v>91.160187215021423</v>
      </c>
      <c r="F8" s="243">
        <v>0.1203</v>
      </c>
      <c r="G8" s="248">
        <v>-2161.1258616523901</v>
      </c>
      <c r="H8" s="248">
        <v>2538.4396947299788</v>
      </c>
      <c r="I8" s="248">
        <v>46787.664311120941</v>
      </c>
      <c r="J8" s="249">
        <v>20226.8202114706</v>
      </c>
      <c r="K8" s="238">
        <f>I8+(('Calculation Upgrade Costs'!$L$12))</f>
        <v>413018.66431112093</v>
      </c>
      <c r="L8" s="237">
        <f t="shared" si="0"/>
        <v>49686.145316627852</v>
      </c>
      <c r="M8">
        <f t="shared" si="1"/>
        <v>101.65350000000001</v>
      </c>
      <c r="N8">
        <f t="shared" si="2"/>
        <v>0.68861377129169177</v>
      </c>
    </row>
    <row r="9" spans="3:14">
      <c r="C9" s="219">
        <v>6</v>
      </c>
      <c r="D9" s="190">
        <v>25</v>
      </c>
      <c r="E9" s="244">
        <v>91.160187218661008</v>
      </c>
      <c r="F9" s="241">
        <v>0.1018</v>
      </c>
      <c r="G9" s="244">
        <v>-2843.9733904614868</v>
      </c>
      <c r="H9" s="244">
        <v>2528.8574668220831</v>
      </c>
      <c r="I9" s="244">
        <v>46787.664310598753</v>
      </c>
      <c r="J9" s="245">
        <v>20226.8202114706</v>
      </c>
      <c r="K9" s="238">
        <f>I9+(('Calculation Upgrade Costs'!$L$12))</f>
        <v>413018.66431059875</v>
      </c>
      <c r="L9" s="235">
        <f t="shared" si="0"/>
        <v>42045.30002681895</v>
      </c>
      <c r="M9">
        <f t="shared" si="1"/>
        <v>86.021000000000001</v>
      </c>
      <c r="N9">
        <f t="shared" si="2"/>
        <v>0.81375478080933727</v>
      </c>
    </row>
    <row r="10" spans="3:14">
      <c r="C10" s="219">
        <v>7</v>
      </c>
      <c r="D10" s="190">
        <v>25</v>
      </c>
      <c r="E10" s="244">
        <v>91.160187218661008</v>
      </c>
      <c r="F10" s="241">
        <v>0.1018</v>
      </c>
      <c r="G10" s="244">
        <v>-2843.9733904614868</v>
      </c>
      <c r="H10" s="244">
        <v>2528.8574668220831</v>
      </c>
      <c r="I10" s="244">
        <v>46787.664310598753</v>
      </c>
      <c r="J10" s="245">
        <v>20226.8202114706</v>
      </c>
      <c r="K10" s="238">
        <f>I10+(('Calculation Upgrade Costs'!$L$12))</f>
        <v>413018.66431059875</v>
      </c>
      <c r="L10" s="235">
        <f t="shared" si="0"/>
        <v>42045.30002681895</v>
      </c>
      <c r="M10">
        <f t="shared" si="1"/>
        <v>86.021000000000001</v>
      </c>
      <c r="N10">
        <f t="shared" si="2"/>
        <v>0.81375478080933727</v>
      </c>
    </row>
    <row r="11" spans="3:14">
      <c r="C11" s="219">
        <v>8</v>
      </c>
      <c r="D11" s="190">
        <v>30</v>
      </c>
      <c r="E11" s="244">
        <v>91.160187215021423</v>
      </c>
      <c r="F11" s="241">
        <v>9.7299999999999998E-2</v>
      </c>
      <c r="G11" s="244">
        <v>-3046.4720482704829</v>
      </c>
      <c r="H11" s="244">
        <v>2491.5093008351591</v>
      </c>
      <c r="I11" s="244">
        <v>46787.664311120941</v>
      </c>
      <c r="J11" s="245">
        <v>20226.8202114706</v>
      </c>
      <c r="K11" s="238">
        <f>I11+(('Calculation Upgrade Costs'!$L$12))</f>
        <v>413018.66431112093</v>
      </c>
      <c r="L11" s="235">
        <f t="shared" si="0"/>
        <v>40186.716037472062</v>
      </c>
      <c r="M11">
        <f t="shared" si="1"/>
        <v>82.218499999999992</v>
      </c>
      <c r="N11">
        <f t="shared" si="2"/>
        <v>0.8513898940019583</v>
      </c>
    </row>
    <row r="12" spans="3:14">
      <c r="C12" s="219">
        <v>9</v>
      </c>
      <c r="D12" s="190">
        <v>11</v>
      </c>
      <c r="E12" s="244">
        <v>229.43053174525471</v>
      </c>
      <c r="F12" s="241">
        <v>0.1469</v>
      </c>
      <c r="G12" s="244">
        <v>-3190.8534049233208</v>
      </c>
      <c r="H12" s="244">
        <v>2330.2721089975012</v>
      </c>
      <c r="I12" s="244">
        <v>34384.642393956987</v>
      </c>
      <c r="J12" s="245">
        <v>20226.8202114706</v>
      </c>
      <c r="K12" s="238">
        <f>I12+(('Calculation Upgrade Costs'!$L$12))</f>
        <v>400615.64239395701</v>
      </c>
      <c r="L12" s="235">
        <f t="shared" si="0"/>
        <v>58850.437867672284</v>
      </c>
      <c r="M12">
        <f t="shared" si="1"/>
        <v>124.1305</v>
      </c>
      <c r="N12">
        <f t="shared" si="2"/>
        <v>0.5639226459250547</v>
      </c>
    </row>
    <row r="13" spans="3:14">
      <c r="C13" s="219">
        <v>10</v>
      </c>
      <c r="D13" s="190">
        <v>25</v>
      </c>
      <c r="E13" s="244">
        <v>198.44362538429559</v>
      </c>
      <c r="F13" s="241">
        <v>0.1018</v>
      </c>
      <c r="G13" s="244">
        <v>-6195.554451996657</v>
      </c>
      <c r="H13" s="244">
        <v>2330.2721089975012</v>
      </c>
      <c r="I13" s="244">
        <v>35737.346109839687</v>
      </c>
      <c r="J13" s="245">
        <v>20226.820211470589</v>
      </c>
      <c r="K13" s="238">
        <f>I13+(('Calculation Upgrade Costs'!$L$12))</f>
        <v>401968.34610983968</v>
      </c>
      <c r="L13" s="235">
        <f t="shared" si="0"/>
        <v>40920.377633981683</v>
      </c>
      <c r="M13">
        <f t="shared" si="1"/>
        <v>86.021000000000001</v>
      </c>
      <c r="N13">
        <f t="shared" si="2"/>
        <v>0.81375478080933727</v>
      </c>
    </row>
    <row r="14" spans="3:14">
      <c r="C14" s="219">
        <v>11</v>
      </c>
      <c r="D14" s="190">
        <v>18</v>
      </c>
      <c r="E14" s="244">
        <v>229.4305317452546</v>
      </c>
      <c r="F14" s="241">
        <v>0.1142</v>
      </c>
      <c r="G14" s="244">
        <v>-5978.5569635232914</v>
      </c>
      <c r="H14" s="244">
        <v>2330.2721089975012</v>
      </c>
      <c r="I14" s="244">
        <v>34384.642393957009</v>
      </c>
      <c r="J14" s="245">
        <v>20226.820211470589</v>
      </c>
      <c r="K14" s="238">
        <f>I14+(('Calculation Upgrade Costs'!$L$12))</f>
        <v>400615.64239395701</v>
      </c>
      <c r="L14" s="235">
        <f t="shared" si="0"/>
        <v>45750.306361389892</v>
      </c>
      <c r="M14">
        <f t="shared" si="1"/>
        <v>96.498999999999995</v>
      </c>
      <c r="N14">
        <f t="shared" si="2"/>
        <v>0.72539611809448801</v>
      </c>
    </row>
    <row r="15" spans="3:14">
      <c r="C15" s="219">
        <v>12</v>
      </c>
      <c r="D15" s="190">
        <v>25</v>
      </c>
      <c r="E15" s="244">
        <v>229.4305317452546</v>
      </c>
      <c r="F15" s="241">
        <v>0.1018</v>
      </c>
      <c r="G15" s="244">
        <v>-7076.3644473306358</v>
      </c>
      <c r="H15" s="244">
        <v>2330.2721089975012</v>
      </c>
      <c r="I15" s="244">
        <v>34384.642393957009</v>
      </c>
      <c r="J15" s="245">
        <v>20226.8202114706</v>
      </c>
      <c r="K15" s="238">
        <f>I15+(('Calculation Upgrade Costs'!$L$12))</f>
        <v>400615.64239395701</v>
      </c>
      <c r="L15" s="235">
        <f t="shared" si="0"/>
        <v>40782.672395704823</v>
      </c>
      <c r="M15">
        <f t="shared" si="1"/>
        <v>86.021000000000001</v>
      </c>
      <c r="N15">
        <f t="shared" si="2"/>
        <v>0.81375478080933727</v>
      </c>
    </row>
    <row r="16" spans="3:14">
      <c r="C16" s="219">
        <v>13</v>
      </c>
      <c r="D16" s="190">
        <v>28</v>
      </c>
      <c r="E16" s="244">
        <v>275.91100542621388</v>
      </c>
      <c r="F16" s="241">
        <v>9.8900000000000002E-2</v>
      </c>
      <c r="G16" s="244">
        <v>-8471.2112337893122</v>
      </c>
      <c r="H16" s="244">
        <v>2330.2721089975012</v>
      </c>
      <c r="I16" s="244">
        <v>32690.563955018919</v>
      </c>
      <c r="J16" s="245">
        <v>20226.8202114706</v>
      </c>
      <c r="K16" s="238">
        <f>I16+(('Calculation Upgrade Costs'!$L$12))</f>
        <v>398921.56395501894</v>
      </c>
      <c r="L16" s="235">
        <f t="shared" si="0"/>
        <v>39453.342675151376</v>
      </c>
      <c r="M16">
        <f t="shared" si="1"/>
        <v>83.570499999999996</v>
      </c>
      <c r="N16">
        <f t="shared" si="2"/>
        <v>0.83761614445288712</v>
      </c>
    </row>
    <row r="17" spans="3:14">
      <c r="C17" s="219">
        <v>14</v>
      </c>
      <c r="D17" s="190">
        <v>31</v>
      </c>
      <c r="E17" s="244">
        <v>275.91100542621388</v>
      </c>
      <c r="F17" s="241">
        <v>9.6699999999999994E-2</v>
      </c>
      <c r="G17" s="244">
        <v>-8701.9765751300183</v>
      </c>
      <c r="H17" s="244">
        <v>2330.2721089975012</v>
      </c>
      <c r="I17" s="244">
        <v>32690.563955018919</v>
      </c>
      <c r="J17" s="245">
        <v>20226.8202114706</v>
      </c>
      <c r="K17" s="238">
        <f>I17+(('Calculation Upgrade Costs'!$L$12))</f>
        <v>398921.56395501894</v>
      </c>
      <c r="L17" s="235">
        <f t="shared" si="0"/>
        <v>38575.715234450327</v>
      </c>
      <c r="M17">
        <f t="shared" si="1"/>
        <v>81.711500000000001</v>
      </c>
      <c r="N17">
        <f t="shared" si="2"/>
        <v>0.85667256138976766</v>
      </c>
    </row>
    <row r="18" spans="3:14">
      <c r="C18" s="219">
        <v>15</v>
      </c>
      <c r="D18" s="190">
        <v>30</v>
      </c>
      <c r="E18" s="244">
        <v>275.91100542621388</v>
      </c>
      <c r="F18" s="241">
        <v>9.7299999999999998E-2</v>
      </c>
      <c r="G18" s="244">
        <v>-8639.2057730553479</v>
      </c>
      <c r="H18" s="244">
        <v>2330.2721090247142</v>
      </c>
      <c r="I18" s="244">
        <v>32690.563955018919</v>
      </c>
      <c r="J18" s="245">
        <v>20226.820211470589</v>
      </c>
      <c r="K18" s="238">
        <f>I18+(('Calculation Upgrade Costs'!$L$12))</f>
        <v>398921.56395501894</v>
      </c>
      <c r="L18" s="235">
        <f t="shared" si="0"/>
        <v>38815.068172823339</v>
      </c>
      <c r="M18">
        <f t="shared" si="1"/>
        <v>82.218499999999992</v>
      </c>
      <c r="N18">
        <f t="shared" si="2"/>
        <v>0.8513898940019583</v>
      </c>
    </row>
    <row r="19" spans="3:14">
      <c r="C19" s="219">
        <v>16</v>
      </c>
      <c r="D19" s="190">
        <v>12</v>
      </c>
      <c r="E19" s="244">
        <v>487.97435607239868</v>
      </c>
      <c r="F19" s="241">
        <v>0.13969999999999999</v>
      </c>
      <c r="G19" s="244">
        <v>-5556.9161335570998</v>
      </c>
      <c r="H19" s="244">
        <v>2330.2721089975012</v>
      </c>
      <c r="I19" s="244">
        <v>27527.20450142671</v>
      </c>
      <c r="J19" s="245">
        <v>20226.8202114706</v>
      </c>
      <c r="K19" s="238">
        <f>I19+(('Calculation Upgrade Costs'!$L$12))</f>
        <v>393758.20450142672</v>
      </c>
      <c r="L19" s="235">
        <f t="shared" si="0"/>
        <v>55008.021168849307</v>
      </c>
      <c r="M19">
        <f t="shared" si="1"/>
        <v>118.04649999999999</v>
      </c>
      <c r="N19">
        <f t="shared" si="2"/>
        <v>0.59298666203572326</v>
      </c>
    </row>
    <row r="20" spans="3:14">
      <c r="C20" s="219">
        <v>17</v>
      </c>
      <c r="D20" s="190">
        <v>28</v>
      </c>
      <c r="E20" s="244">
        <v>487.97435607239862</v>
      </c>
      <c r="F20" s="241">
        <v>9.8900000000000002E-2</v>
      </c>
      <c r="G20" s="244">
        <v>-11846.938398158651</v>
      </c>
      <c r="H20" s="244">
        <v>2330.2721089975012</v>
      </c>
      <c r="I20" s="244">
        <v>27527.204501426721</v>
      </c>
      <c r="J20" s="245">
        <v>20226.820211470589</v>
      </c>
      <c r="K20" s="238">
        <f>I20+(('Calculation Upgrade Costs'!$L$12))</f>
        <v>393758.20450142672</v>
      </c>
      <c r="L20" s="235">
        <f t="shared" si="0"/>
        <v>38942.686425191103</v>
      </c>
      <c r="M20">
        <f t="shared" si="1"/>
        <v>83.570499999999996</v>
      </c>
      <c r="N20">
        <f t="shared" si="2"/>
        <v>0.83761614445288712</v>
      </c>
    </row>
    <row r="21" spans="3:14">
      <c r="C21" s="219">
        <v>18</v>
      </c>
      <c r="D21" s="190">
        <v>23</v>
      </c>
      <c r="E21" s="244">
        <v>487.97435607239862</v>
      </c>
      <c r="F21" s="241">
        <v>0.10440000000000001</v>
      </c>
      <c r="G21" s="244">
        <v>-10999.45110716126</v>
      </c>
      <c r="H21" s="244">
        <v>2330.2721089975012</v>
      </c>
      <c r="I21" s="244">
        <v>27527.204501426721</v>
      </c>
      <c r="J21" s="245">
        <v>20226.820211470589</v>
      </c>
      <c r="K21" s="238">
        <f>I21+(('Calculation Upgrade Costs'!$L$12))</f>
        <v>393758.20450142672</v>
      </c>
      <c r="L21" s="235">
        <f t="shared" si="0"/>
        <v>41108.356549948949</v>
      </c>
      <c r="M21">
        <f t="shared" si="1"/>
        <v>88.218000000000004</v>
      </c>
      <c r="N21">
        <f t="shared" si="2"/>
        <v>0.79348885714933459</v>
      </c>
    </row>
    <row r="22" spans="3:14">
      <c r="C22" s="219">
        <v>19</v>
      </c>
      <c r="D22" s="190">
        <v>31</v>
      </c>
      <c r="E22" s="244">
        <v>487.97435607239862</v>
      </c>
      <c r="F22" s="241">
        <v>9.6699999999999994E-2</v>
      </c>
      <c r="G22" s="244">
        <v>-12200.296569500089</v>
      </c>
      <c r="H22" s="244">
        <v>2330.2721089975012</v>
      </c>
      <c r="I22" s="244">
        <v>27527.204501426721</v>
      </c>
      <c r="J22" s="245">
        <v>20226.8202114706</v>
      </c>
      <c r="K22" s="238">
        <f>I22+(('Calculation Upgrade Costs'!$L$12))</f>
        <v>393758.20450142672</v>
      </c>
      <c r="L22" s="235">
        <f t="shared" si="0"/>
        <v>38076.418375287962</v>
      </c>
      <c r="M22">
        <f t="shared" si="1"/>
        <v>81.711500000000001</v>
      </c>
      <c r="N22">
        <f t="shared" si="2"/>
        <v>0.85667256138976766</v>
      </c>
    </row>
    <row r="23" spans="3:14">
      <c r="C23" s="219">
        <v>20</v>
      </c>
      <c r="D23" s="190">
        <v>29</v>
      </c>
      <c r="E23" s="244">
        <v>487.97435607239862</v>
      </c>
      <c r="F23" s="241">
        <v>9.8100000000000007E-2</v>
      </c>
      <c r="G23" s="244">
        <v>-11967.14873614823</v>
      </c>
      <c r="H23" s="244">
        <v>2330.2721089975012</v>
      </c>
      <c r="I23" s="244">
        <v>27527.204501426721</v>
      </c>
      <c r="J23" s="245">
        <v>20226.820211470589</v>
      </c>
      <c r="K23" s="238">
        <f>I23+(('Calculation Upgrade Costs'!$L$12))</f>
        <v>393758.20450142672</v>
      </c>
      <c r="L23" s="235">
        <f t="shared" si="0"/>
        <v>38627.679861589961</v>
      </c>
      <c r="M23">
        <f t="shared" si="1"/>
        <v>82.894500000000008</v>
      </c>
      <c r="N23">
        <f t="shared" si="2"/>
        <v>0.84444685714975054</v>
      </c>
    </row>
    <row r="24" spans="3:14">
      <c r="C24" s="219">
        <v>21</v>
      </c>
      <c r="D24" s="190">
        <v>24</v>
      </c>
      <c r="E24" s="244">
        <v>487.97435607239862</v>
      </c>
      <c r="F24" s="241">
        <v>0.10299999999999999</v>
      </c>
      <c r="G24" s="244">
        <v>-11216.68009462073</v>
      </c>
      <c r="H24" s="244">
        <v>2330.2721089975012</v>
      </c>
      <c r="I24" s="244">
        <v>27527.204501426721</v>
      </c>
      <c r="J24" s="245">
        <v>20226.8202114706</v>
      </c>
      <c r="K24" s="238">
        <f>I24+(('Calculation Upgrade Costs'!$L$12))</f>
        <v>393758.20450142672</v>
      </c>
      <c r="L24" s="235">
        <f t="shared" si="0"/>
        <v>40557.09506364695</v>
      </c>
      <c r="M24">
        <f t="shared" si="1"/>
        <v>87.034999999999997</v>
      </c>
      <c r="N24">
        <f t="shared" si="2"/>
        <v>0.80427414258631591</v>
      </c>
    </row>
    <row r="25" spans="3:14">
      <c r="C25" s="219">
        <v>22</v>
      </c>
      <c r="D25" s="190">
        <v>35</v>
      </c>
      <c r="E25" s="244">
        <v>487.97435607239862</v>
      </c>
      <c r="F25" s="241">
        <v>9.4600000000000004E-2</v>
      </c>
      <c r="G25" s="244">
        <v>-12527.55180333564</v>
      </c>
      <c r="H25" s="244">
        <v>2330.2721089975012</v>
      </c>
      <c r="I25" s="244">
        <v>27527.204501426721</v>
      </c>
      <c r="J25" s="245">
        <v>20226.820211470589</v>
      </c>
      <c r="K25" s="238">
        <f>I25+(('Calculation Upgrade Costs'!$L$12))</f>
        <v>393758.20450142672</v>
      </c>
      <c r="L25" s="235">
        <f t="shared" si="0"/>
        <v>37249.526145834971</v>
      </c>
      <c r="M25">
        <f t="shared" si="1"/>
        <v>79.936999999999998</v>
      </c>
      <c r="N25">
        <f t="shared" si="2"/>
        <v>0.87568960556438202</v>
      </c>
    </row>
    <row r="26" spans="3:14">
      <c r="C26" s="219">
        <v>23</v>
      </c>
      <c r="D26" s="190">
        <v>34</v>
      </c>
      <c r="E26" s="244">
        <v>551.64636880524313</v>
      </c>
      <c r="F26" s="241">
        <v>9.5100000000000004E-2</v>
      </c>
      <c r="G26" s="244">
        <v>-12912.10017166615</v>
      </c>
      <c r="H26" s="244">
        <v>2330.2721089975012</v>
      </c>
      <c r="I26" s="244">
        <v>32780.707966174938</v>
      </c>
      <c r="J26" s="245">
        <v>20226.8202114706</v>
      </c>
      <c r="K26" s="238">
        <f>I26+(('Calculation Upgrade Costs'!$L$12))</f>
        <v>399011.70796617493</v>
      </c>
      <c r="L26" s="235">
        <f t="shared" si="0"/>
        <v>37946.013427583239</v>
      </c>
      <c r="M26">
        <f t="shared" si="1"/>
        <v>80.359499999999997</v>
      </c>
      <c r="N26">
        <f t="shared" si="2"/>
        <v>0.87108555926803932</v>
      </c>
    </row>
    <row r="27" spans="3:14">
      <c r="C27" s="219">
        <v>24</v>
      </c>
      <c r="D27" s="190">
        <v>30</v>
      </c>
      <c r="E27" s="244">
        <v>551.64636880524301</v>
      </c>
      <c r="F27" s="241">
        <v>9.7299999999999998E-2</v>
      </c>
      <c r="G27" s="244">
        <v>-12522.90017700874</v>
      </c>
      <c r="H27" s="244">
        <v>2330.2721089975012</v>
      </c>
      <c r="I27" s="244">
        <v>32780.707966174938</v>
      </c>
      <c r="J27" s="245">
        <v>20226.8202114706</v>
      </c>
      <c r="K27" s="238">
        <f>I27+(('Calculation Upgrade Costs'!$L$12))</f>
        <v>399011.70796617493</v>
      </c>
      <c r="L27" s="235">
        <f t="shared" si="0"/>
        <v>38823.839185108816</v>
      </c>
      <c r="M27">
        <f t="shared" si="1"/>
        <v>82.218499999999992</v>
      </c>
      <c r="N27">
        <f t="shared" si="2"/>
        <v>0.8513898940019583</v>
      </c>
    </row>
    <row r="28" spans="3:14" ht="17" thickBot="1">
      <c r="C28" s="220">
        <v>25</v>
      </c>
      <c r="D28" s="221">
        <v>35</v>
      </c>
      <c r="E28" s="246">
        <v>551.64636880524301</v>
      </c>
      <c r="F28" s="242">
        <v>9.4600000000000004E-2</v>
      </c>
      <c r="G28" s="246">
        <v>-13318.20944358433</v>
      </c>
      <c r="H28" s="246">
        <v>2330.2721089975012</v>
      </c>
      <c r="I28" s="246">
        <v>32780.707966174938</v>
      </c>
      <c r="J28" s="247">
        <v>20226.820211470589</v>
      </c>
      <c r="K28" s="239">
        <f>I28+(('Calculation Upgrade Costs'!$L$12))</f>
        <v>399011.70796617493</v>
      </c>
      <c r="L28" s="236">
        <f t="shared" si="0"/>
        <v>37746.507573600153</v>
      </c>
      <c r="M28">
        <f t="shared" si="1"/>
        <v>79.936999999999998</v>
      </c>
      <c r="N28">
        <f t="shared" si="2"/>
        <v>0.87568960556438202</v>
      </c>
    </row>
    <row r="29" spans="3:14" ht="34">
      <c r="C29" s="1" t="s">
        <v>921</v>
      </c>
      <c r="F29" s="255">
        <f>AVERAGE(F8:F28)</f>
        <v>0.10481904761904762</v>
      </c>
      <c r="H29" s="252">
        <f>AVERAGE(H8:H28)</f>
        <v>2366.7757039140024</v>
      </c>
      <c r="I29" s="252">
        <f>AVERAGE(I8:I28)</f>
        <v>34054.579895653282</v>
      </c>
      <c r="J29" s="252">
        <f>AVERAGE(J8:J28)</f>
        <v>20226.820211470593</v>
      </c>
      <c r="K29" s="252">
        <f>AVERAGE(K8:K28)</f>
        <v>400285.5798956533</v>
      </c>
      <c r="L29" s="253">
        <f>AVERAGE(L8:L28)</f>
        <v>41961.786929788228</v>
      </c>
      <c r="N29" s="254">
        <f>AVERAGE(N8:N28)</f>
        <v>0.80158857340750922</v>
      </c>
    </row>
    <row r="30" spans="3:14" ht="17" thickBot="1"/>
    <row r="31" spans="3:14" ht="34">
      <c r="C31" s="39" t="s">
        <v>922</v>
      </c>
      <c r="D31" s="40" t="s">
        <v>923</v>
      </c>
      <c r="E31" s="41" t="s">
        <v>924</v>
      </c>
      <c r="H31">
        <f>F29*H29</f>
        <v>248.08317521216676</v>
      </c>
      <c r="I31">
        <f>I29*F29</f>
        <v>3569.5686317291429</v>
      </c>
      <c r="J31">
        <f>J29*F29</f>
        <v>2120.1560309280508</v>
      </c>
      <c r="L31" s="223"/>
    </row>
    <row r="32" spans="3:14" ht="86" thickBot="1">
      <c r="C32" s="2" t="s">
        <v>925</v>
      </c>
      <c r="D32" s="207">
        <f>'Calculation Upgrade Costs'!$L$12</f>
        <v>366231</v>
      </c>
      <c r="E32" s="4" t="s">
        <v>926</v>
      </c>
      <c r="H32" t="s">
        <v>927</v>
      </c>
      <c r="I32" t="s">
        <v>928</v>
      </c>
      <c r="J32" t="s">
        <v>929</v>
      </c>
      <c r="L32" t="s">
        <v>930</v>
      </c>
    </row>
    <row r="33" spans="3:5" ht="34">
      <c r="C33" s="39" t="s">
        <v>931</v>
      </c>
      <c r="D33" s="40">
        <v>845</v>
      </c>
      <c r="E33" s="41" t="s">
        <v>518</v>
      </c>
    </row>
    <row r="34" spans="3:5" ht="51">
      <c r="C34" s="5" t="s">
        <v>932</v>
      </c>
      <c r="D34" s="150">
        <v>1</v>
      </c>
      <c r="E34" s="6"/>
    </row>
    <row r="35" spans="3:5" ht="136">
      <c r="C35" s="5" t="s">
        <v>933</v>
      </c>
      <c r="D35">
        <v>0.3</v>
      </c>
      <c r="E35" s="6"/>
    </row>
    <row r="36" spans="3:5" ht="52" thickBot="1">
      <c r="C36" s="2" t="s">
        <v>934</v>
      </c>
      <c r="D36" s="251">
        <f>D34*D35</f>
        <v>0.3</v>
      </c>
      <c r="E36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B773-DFED-3345-ACD8-498084D3D847}">
  <dimension ref="B1:W11"/>
  <sheetViews>
    <sheetView zoomScale="90" zoomScaleNormal="90" workbookViewId="0">
      <selection activeCell="H4" sqref="F2:H4"/>
    </sheetView>
  </sheetViews>
  <sheetFormatPr baseColWidth="10" defaultColWidth="11" defaultRowHeight="16"/>
  <cols>
    <col min="1" max="1" width="2.5" customWidth="1"/>
    <col min="2" max="2" width="24.1640625" customWidth="1"/>
    <col min="3" max="3" width="48.5" customWidth="1"/>
    <col min="4" max="4" width="24.5" customWidth="1"/>
    <col min="5" max="5" width="30.1640625" customWidth="1"/>
    <col min="6" max="6" width="32.6640625" customWidth="1"/>
    <col min="7" max="7" width="28.5" customWidth="1"/>
    <col min="8" max="8" width="25.83203125" customWidth="1"/>
    <col min="9" max="10" width="27.33203125" customWidth="1"/>
    <col min="11" max="11" width="22.5" customWidth="1"/>
    <col min="12" max="12" width="30.33203125" customWidth="1"/>
    <col min="13" max="13" width="26.1640625" customWidth="1"/>
    <col min="14" max="14" width="32.5" customWidth="1"/>
    <col min="15" max="15" width="28.6640625" customWidth="1"/>
    <col min="16" max="16" width="28.83203125" customWidth="1"/>
    <col min="17" max="17" width="19.33203125" customWidth="1"/>
    <col min="18" max="18" width="18.1640625" customWidth="1"/>
    <col min="19" max="19" width="20.5" customWidth="1"/>
    <col min="20" max="20" width="19.5" customWidth="1"/>
    <col min="21" max="21" width="33" customWidth="1"/>
    <col min="22" max="22" width="24.6640625" customWidth="1"/>
    <col min="23" max="23" width="27.1640625" customWidth="1"/>
  </cols>
  <sheetData>
    <row r="1" spans="2:23" ht="7" customHeight="1" thickBot="1"/>
    <row r="2" spans="2:23" s="81" customFormat="1" ht="35" thickBot="1">
      <c r="B2" s="181"/>
      <c r="C2" s="179" t="s">
        <v>935</v>
      </c>
      <c r="D2" s="182" t="s">
        <v>936</v>
      </c>
      <c r="E2" s="182" t="s">
        <v>937</v>
      </c>
      <c r="F2" s="182" t="s">
        <v>938</v>
      </c>
      <c r="G2" s="182" t="s">
        <v>939</v>
      </c>
      <c r="H2" s="182" t="s">
        <v>940</v>
      </c>
      <c r="I2" s="182" t="s">
        <v>941</v>
      </c>
      <c r="J2" s="125" t="s">
        <v>942</v>
      </c>
      <c r="K2" s="182" t="s">
        <v>943</v>
      </c>
      <c r="L2" s="182" t="s">
        <v>944</v>
      </c>
      <c r="M2" s="182" t="s">
        <v>945</v>
      </c>
      <c r="N2" s="182" t="s">
        <v>946</v>
      </c>
      <c r="O2" s="182" t="s">
        <v>947</v>
      </c>
      <c r="P2" s="182" t="s">
        <v>948</v>
      </c>
      <c r="Q2" s="182" t="s">
        <v>949</v>
      </c>
      <c r="R2" s="182" t="s">
        <v>950</v>
      </c>
      <c r="S2" s="182" t="s">
        <v>951</v>
      </c>
      <c r="T2" s="182" t="s">
        <v>952</v>
      </c>
      <c r="U2" s="182" t="s">
        <v>953</v>
      </c>
      <c r="V2" s="182" t="s">
        <v>954</v>
      </c>
      <c r="W2" s="183" t="s">
        <v>955</v>
      </c>
    </row>
    <row r="3" spans="2:23" ht="197" customHeight="1">
      <c r="B3" s="188" t="s">
        <v>956</v>
      </c>
      <c r="C3" s="187" t="s">
        <v>957</v>
      </c>
      <c r="D3" s="184" t="s">
        <v>958</v>
      </c>
      <c r="E3" s="184" t="s">
        <v>959</v>
      </c>
      <c r="F3" s="189" t="s">
        <v>960</v>
      </c>
      <c r="G3" s="189" t="s">
        <v>961</v>
      </c>
      <c r="H3" s="189" t="s">
        <v>962</v>
      </c>
      <c r="I3" s="184" t="s">
        <v>963</v>
      </c>
      <c r="J3" s="184" t="s">
        <v>964</v>
      </c>
      <c r="K3" s="184" t="s">
        <v>965</v>
      </c>
      <c r="L3" s="184" t="s">
        <v>966</v>
      </c>
      <c r="M3" s="184" t="s">
        <v>967</v>
      </c>
      <c r="N3" s="184" t="s">
        <v>968</v>
      </c>
      <c r="O3" s="184" t="s">
        <v>969</v>
      </c>
      <c r="P3" s="184" t="s">
        <v>970</v>
      </c>
      <c r="Q3" s="184" t="s">
        <v>971</v>
      </c>
      <c r="R3" s="184" t="s">
        <v>972</v>
      </c>
      <c r="S3" s="184" t="s">
        <v>973</v>
      </c>
      <c r="T3" s="184" t="s">
        <v>974</v>
      </c>
      <c r="U3" s="184" t="s">
        <v>975</v>
      </c>
      <c r="V3" s="184" t="s">
        <v>976</v>
      </c>
      <c r="W3" s="184" t="s">
        <v>977</v>
      </c>
    </row>
    <row r="4" spans="2:23" ht="17">
      <c r="B4" s="188" t="s">
        <v>2</v>
      </c>
      <c r="C4" s="186">
        <v>0</v>
      </c>
      <c r="D4" s="184">
        <v>0</v>
      </c>
      <c r="E4" s="184">
        <v>0</v>
      </c>
      <c r="F4" s="189">
        <v>3574</v>
      </c>
      <c r="G4" s="189">
        <v>2120</v>
      </c>
      <c r="H4" s="189">
        <v>248</v>
      </c>
      <c r="I4" s="184">
        <v>0</v>
      </c>
      <c r="J4" s="184">
        <v>0</v>
      </c>
      <c r="K4" s="184"/>
      <c r="L4" s="184">
        <v>-1</v>
      </c>
      <c r="M4" s="184"/>
      <c r="N4" s="184">
        <v>0</v>
      </c>
      <c r="O4" s="184"/>
      <c r="P4" s="184">
        <f>Parameters!D18 * 1000</f>
        <v>10.15</v>
      </c>
      <c r="Q4" s="184">
        <v>0</v>
      </c>
      <c r="R4" s="184">
        <v>0</v>
      </c>
      <c r="S4" s="184">
        <f>T4</f>
        <v>0.5</v>
      </c>
      <c r="T4" s="184">
        <f>Parameters!D21</f>
        <v>0.5</v>
      </c>
      <c r="U4" s="184">
        <f>Parameters!D34</f>
        <v>4.1666670000000002E-4</v>
      </c>
      <c r="V4" s="184">
        <f>Parameters!D58</f>
        <v>0.95</v>
      </c>
      <c r="W4" s="185">
        <f>Parameters!D63</f>
        <v>0.41</v>
      </c>
    </row>
    <row r="5" spans="2:23" ht="102">
      <c r="B5" s="188" t="s">
        <v>978</v>
      </c>
      <c r="C5" s="186" t="s">
        <v>979</v>
      </c>
      <c r="D5" s="184" t="s">
        <v>980</v>
      </c>
      <c r="E5" s="184" t="s">
        <v>980</v>
      </c>
      <c r="F5" s="189" t="s">
        <v>981</v>
      </c>
      <c r="G5" s="189" t="s">
        <v>982</v>
      </c>
      <c r="H5" s="189" t="s">
        <v>983</v>
      </c>
      <c r="I5" s="184"/>
      <c r="J5" s="184"/>
      <c r="K5" s="184" t="s">
        <v>984</v>
      </c>
      <c r="L5" s="184" t="s">
        <v>985</v>
      </c>
      <c r="M5" s="184" t="s">
        <v>984</v>
      </c>
      <c r="N5" s="184"/>
      <c r="O5" s="184" t="s">
        <v>986</v>
      </c>
      <c r="P5" s="184"/>
      <c r="Q5" s="184"/>
      <c r="R5" s="184"/>
      <c r="S5" s="184"/>
      <c r="T5" s="184"/>
      <c r="U5" s="184"/>
      <c r="V5" s="184"/>
      <c r="W5" s="184"/>
    </row>
    <row r="6" spans="2:23" ht="18" thickBot="1">
      <c r="B6" s="180" t="s">
        <v>449</v>
      </c>
      <c r="C6" s="3"/>
      <c r="D6" s="3"/>
      <c r="E6" s="3"/>
      <c r="F6" s="3" t="s">
        <v>987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</row>
    <row r="11" spans="2:23">
      <c r="F11" s="19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B834-7A7D-1F44-9B60-5EAF0C6C2C93}">
  <dimension ref="A2:F46"/>
  <sheetViews>
    <sheetView tabSelected="1" workbookViewId="0">
      <selection activeCell="B47" sqref="B47"/>
    </sheetView>
  </sheetViews>
  <sheetFormatPr baseColWidth="10" defaultColWidth="11" defaultRowHeight="16"/>
  <cols>
    <col min="3" max="3" width="62.6640625" customWidth="1"/>
    <col min="5" max="5" width="60.5" customWidth="1"/>
  </cols>
  <sheetData>
    <row r="2" spans="1:5" ht="17" thickBot="1">
      <c r="B2" s="3"/>
      <c r="C2" s="3"/>
      <c r="D2" s="3"/>
      <c r="E2" s="3"/>
    </row>
    <row r="3" spans="1:5" ht="18" thickBot="1">
      <c r="A3" s="6"/>
      <c r="B3" s="18" t="s">
        <v>5</v>
      </c>
      <c r="C3" s="17" t="s">
        <v>988</v>
      </c>
      <c r="D3" s="16"/>
      <c r="E3" s="15" t="s">
        <v>6</v>
      </c>
    </row>
    <row r="4" spans="1:5" ht="102">
      <c r="B4" s="5">
        <v>1</v>
      </c>
      <c r="C4" t="s">
        <v>989</v>
      </c>
      <c r="D4" t="s">
        <v>990</v>
      </c>
      <c r="E4" s="6" t="s">
        <v>991</v>
      </c>
    </row>
    <row r="5" spans="1:5" ht="17">
      <c r="B5" s="5">
        <v>2</v>
      </c>
      <c r="C5" t="s">
        <v>992</v>
      </c>
      <c r="E5" s="6"/>
    </row>
    <row r="6" spans="1:5" ht="17">
      <c r="B6" s="5">
        <v>3</v>
      </c>
      <c r="C6" t="s">
        <v>993</v>
      </c>
      <c r="E6" s="6"/>
    </row>
    <row r="7" spans="1:5" ht="17">
      <c r="B7" s="5">
        <v>4</v>
      </c>
      <c r="C7" t="s">
        <v>994</v>
      </c>
      <c r="E7" s="6"/>
    </row>
    <row r="8" spans="1:5" ht="17">
      <c r="B8" s="5">
        <v>5</v>
      </c>
      <c r="C8" t="s">
        <v>995</v>
      </c>
      <c r="E8" s="6"/>
    </row>
    <row r="9" spans="1:5" ht="51">
      <c r="B9" s="5">
        <v>6</v>
      </c>
      <c r="C9" s="19" t="s">
        <v>996</v>
      </c>
      <c r="D9" t="s">
        <v>997</v>
      </c>
      <c r="E9" s="6" t="s">
        <v>998</v>
      </c>
    </row>
    <row r="10" spans="1:5" ht="17">
      <c r="B10" s="5">
        <v>7</v>
      </c>
      <c r="C10" t="s">
        <v>999</v>
      </c>
      <c r="E10" s="6"/>
    </row>
    <row r="11" spans="1:5" ht="34">
      <c r="B11" s="5">
        <v>8</v>
      </c>
      <c r="C11" s="19" t="s">
        <v>1000</v>
      </c>
      <c r="D11" t="s">
        <v>1001</v>
      </c>
      <c r="E11" s="6" t="s">
        <v>1002</v>
      </c>
    </row>
    <row r="12" spans="1:5" ht="61">
      <c r="B12" s="5">
        <v>9</v>
      </c>
      <c r="C12" s="20" t="s">
        <v>1003</v>
      </c>
      <c r="E12" s="6" t="s">
        <v>1004</v>
      </c>
    </row>
    <row r="13" spans="1:5" ht="34">
      <c r="B13" s="5">
        <v>10</v>
      </c>
      <c r="C13" s="19" t="s">
        <v>1005</v>
      </c>
      <c r="D13" t="s">
        <v>1006</v>
      </c>
      <c r="E13" s="6" t="s">
        <v>1007</v>
      </c>
    </row>
    <row r="14" spans="1:5" ht="102">
      <c r="B14" s="5">
        <v>11</v>
      </c>
      <c r="C14" s="19" t="s">
        <v>1008</v>
      </c>
      <c r="D14" t="s">
        <v>1009</v>
      </c>
      <c r="E14" s="6" t="s">
        <v>1010</v>
      </c>
    </row>
    <row r="15" spans="1:5" ht="17">
      <c r="B15" s="5">
        <v>12</v>
      </c>
      <c r="C15" t="s">
        <v>1011</v>
      </c>
      <c r="E15" s="6"/>
    </row>
    <row r="16" spans="1:5" ht="17">
      <c r="B16" s="5">
        <v>13</v>
      </c>
      <c r="C16" t="s">
        <v>1012</v>
      </c>
      <c r="E16" s="6"/>
    </row>
    <row r="17" spans="2:6" ht="17">
      <c r="B17" s="5">
        <v>14</v>
      </c>
      <c r="C17" t="s">
        <v>1013</v>
      </c>
      <c r="E17" s="29" t="s">
        <v>1014</v>
      </c>
    </row>
    <row r="18" spans="2:6" ht="34">
      <c r="B18" s="5">
        <v>15</v>
      </c>
      <c r="C18" s="19" t="s">
        <v>1015</v>
      </c>
      <c r="D18" t="s">
        <v>1016</v>
      </c>
      <c r="E18" s="6" t="s">
        <v>1017</v>
      </c>
    </row>
    <row r="19" spans="2:6" ht="17">
      <c r="B19" s="5">
        <v>16</v>
      </c>
      <c r="C19" s="19" t="s">
        <v>1018</v>
      </c>
      <c r="D19" t="s">
        <v>1019</v>
      </c>
      <c r="E19" s="6" t="s">
        <v>1020</v>
      </c>
    </row>
    <row r="20" spans="2:6" ht="51">
      <c r="B20" s="5">
        <v>17</v>
      </c>
      <c r="C20" s="19" t="s">
        <v>1021</v>
      </c>
      <c r="E20" s="6" t="s">
        <v>1022</v>
      </c>
    </row>
    <row r="21" spans="2:6" ht="68">
      <c r="B21" s="5">
        <v>18</v>
      </c>
      <c r="C21" s="19" t="s">
        <v>1023</v>
      </c>
      <c r="E21" s="6" t="s">
        <v>1024</v>
      </c>
    </row>
    <row r="22" spans="2:6" ht="17">
      <c r="B22" s="5">
        <v>19</v>
      </c>
      <c r="C22" s="19" t="s">
        <v>1025</v>
      </c>
      <c r="E22" s="6" t="s">
        <v>1026</v>
      </c>
    </row>
    <row r="23" spans="2:6" ht="34">
      <c r="B23" s="5">
        <v>20</v>
      </c>
      <c r="C23" s="19" t="s">
        <v>1027</v>
      </c>
      <c r="D23" t="s">
        <v>1028</v>
      </c>
      <c r="E23" s="6" t="s">
        <v>1029</v>
      </c>
    </row>
    <row r="24" spans="2:6" ht="17">
      <c r="B24" s="5">
        <v>21</v>
      </c>
      <c r="C24" t="s">
        <v>1030</v>
      </c>
      <c r="E24" s="6" t="s">
        <v>1031</v>
      </c>
    </row>
    <row r="25" spans="2:6" ht="34">
      <c r="B25" s="5">
        <v>22</v>
      </c>
      <c r="C25" s="19" t="s">
        <v>1032</v>
      </c>
      <c r="D25" t="s">
        <v>1033</v>
      </c>
      <c r="E25" s="6" t="s">
        <v>1034</v>
      </c>
    </row>
    <row r="26" spans="2:6" ht="17">
      <c r="B26" s="5">
        <v>23</v>
      </c>
      <c r="C26" s="19" t="s">
        <v>1035</v>
      </c>
      <c r="D26" t="s">
        <v>1036</v>
      </c>
      <c r="E26" s="6" t="s">
        <v>1037</v>
      </c>
    </row>
    <row r="27" spans="2:6" ht="35" thickBot="1">
      <c r="B27" s="2">
        <v>24</v>
      </c>
      <c r="C27" s="67" t="s">
        <v>1038</v>
      </c>
      <c r="D27" s="3" t="s">
        <v>1039</v>
      </c>
      <c r="E27" s="4" t="s">
        <v>1040</v>
      </c>
    </row>
    <row r="28" spans="2:6" ht="17">
      <c r="B28" s="5">
        <v>25</v>
      </c>
      <c r="C28" t="s">
        <v>1041</v>
      </c>
      <c r="E28" s="6" t="s">
        <v>1042</v>
      </c>
    </row>
    <row r="29" spans="2:6" ht="17">
      <c r="B29" s="5">
        <v>26</v>
      </c>
      <c r="C29" t="s">
        <v>1043</v>
      </c>
      <c r="E29" s="6" t="s">
        <v>1044</v>
      </c>
    </row>
    <row r="30" spans="2:6" ht="51">
      <c r="B30" s="5">
        <v>27</v>
      </c>
      <c r="C30" s="19" t="s">
        <v>1045</v>
      </c>
      <c r="E30" s="6" t="s">
        <v>1046</v>
      </c>
    </row>
    <row r="31" spans="2:6" ht="34">
      <c r="B31" s="5">
        <v>28</v>
      </c>
      <c r="C31" s="19" t="s">
        <v>1047</v>
      </c>
      <c r="E31" s="6" t="s">
        <v>1048</v>
      </c>
    </row>
    <row r="32" spans="2:6" ht="34">
      <c r="B32" s="5">
        <v>29</v>
      </c>
      <c r="C32" s="19" t="s">
        <v>1049</v>
      </c>
      <c r="E32" s="6" t="s">
        <v>1050</v>
      </c>
      <c r="F32" t="s">
        <v>1051</v>
      </c>
    </row>
    <row r="33" spans="2:5" ht="51">
      <c r="B33" s="5">
        <v>30</v>
      </c>
      <c r="C33" t="s">
        <v>1052</v>
      </c>
      <c r="E33" s="6" t="s">
        <v>1053</v>
      </c>
    </row>
    <row r="34" spans="2:5" ht="17">
      <c r="B34" s="5">
        <v>31</v>
      </c>
      <c r="C34" t="s">
        <v>1054</v>
      </c>
      <c r="E34" s="19" t="s">
        <v>1055</v>
      </c>
    </row>
    <row r="35" spans="2:5" ht="34">
      <c r="B35" s="5">
        <v>32</v>
      </c>
      <c r="C35" t="s">
        <v>1056</v>
      </c>
    </row>
    <row r="36" spans="2:5" ht="17">
      <c r="B36" s="5">
        <v>33</v>
      </c>
      <c r="C36" t="s">
        <v>1057</v>
      </c>
    </row>
    <row r="37" spans="2:5" ht="34">
      <c r="B37" s="5">
        <v>34</v>
      </c>
      <c r="C37" t="s">
        <v>1058</v>
      </c>
      <c r="D37" t="s">
        <v>1059</v>
      </c>
    </row>
    <row r="38" spans="2:5" ht="34">
      <c r="B38" s="5">
        <v>35</v>
      </c>
      <c r="C38" t="s">
        <v>1060</v>
      </c>
      <c r="D38">
        <v>2020</v>
      </c>
    </row>
    <row r="39" spans="2:5" ht="409.5">
      <c r="B39" s="5">
        <v>36</v>
      </c>
      <c r="C39" t="s">
        <v>1061</v>
      </c>
    </row>
    <row r="40" spans="2:5" ht="51">
      <c r="B40" s="5">
        <v>37</v>
      </c>
      <c r="C40" t="s">
        <v>1062</v>
      </c>
    </row>
    <row r="41" spans="2:5" ht="51">
      <c r="B41" s="5">
        <v>38</v>
      </c>
      <c r="C41" t="s">
        <v>1063</v>
      </c>
    </row>
    <row r="42" spans="2:5" ht="17">
      <c r="B42" s="327">
        <v>39</v>
      </c>
      <c r="C42" t="s">
        <v>1117</v>
      </c>
    </row>
    <row r="43" spans="2:5">
      <c r="B43" s="327">
        <v>40</v>
      </c>
      <c r="C43" t="s">
        <v>1102</v>
      </c>
    </row>
    <row r="44" spans="2:5" ht="17">
      <c r="B44" s="327">
        <v>41</v>
      </c>
      <c r="C44" t="s">
        <v>1140</v>
      </c>
    </row>
    <row r="45" spans="2:5" ht="17">
      <c r="B45" s="327">
        <v>42</v>
      </c>
      <c r="C45" t="s">
        <v>1146</v>
      </c>
    </row>
    <row r="46" spans="2:5" ht="17">
      <c r="B46" s="327">
        <v>43</v>
      </c>
      <c r="C46" t="s">
        <v>505</v>
      </c>
    </row>
  </sheetData>
  <hyperlinks>
    <hyperlink ref="C11" r:id="rId1" xr:uid="{F5F521A8-BF33-C546-82D5-113C3A90BD43}"/>
    <hyperlink ref="C14" r:id="rId2" xr:uid="{FAF8CC82-A1E0-2A41-A80F-B9FEA472F09F}"/>
    <hyperlink ref="E17" r:id="rId3" xr:uid="{1F5D2B58-AB37-DB4E-96E7-FC88867CFF78}"/>
    <hyperlink ref="C13" r:id="rId4" xr:uid="{386F5562-F744-8941-8B6F-3F0D65A1B573}"/>
    <hyperlink ref="C19" r:id="rId5" xr:uid="{33C8EA07-22DC-B541-A56F-899497565083}"/>
    <hyperlink ref="C18" r:id="rId6" xr:uid="{CE234A9D-EB27-EE41-AB95-DBA772A88C7C}"/>
    <hyperlink ref="C21" r:id="rId7" location=":~:text=The%20average%20Density%20of%20Carbon,is%20less%20than%20stainless%20steel.&amp;text=Depending%20on%20grade%2C%20the%20coefficient,%2F%20(m%20%C2%B0C). " xr:uid="{E070C697-5B7D-DA4B-92C6-233EA8195367}"/>
    <hyperlink ref="C20" r:id="rId8" location=":~:text=Let's%20look%20at%20the%20two,about%207980%20kg%2Fm3. " xr:uid="{CCAB75B1-6C17-6640-8B36-F9E8CF215301}"/>
    <hyperlink ref="C22" r:id="rId9" xr:uid="{6AE8FDD4-B658-2149-9D3F-37C461D122DB}"/>
    <hyperlink ref="C27" r:id="rId10" xr:uid="{D7C5FDE9-2B26-B24C-9D95-471559C85F36}"/>
    <hyperlink ref="C30" r:id="rId11" location=":~:text=India%20Inflation%20Rate%20Eases%20Only,to%20market%20forecasts%20of%206.35%25." xr:uid="{F5D32798-FFB6-8A4B-A5F8-B081EC07C4AE}"/>
    <hyperlink ref="C23" r:id="rId12" xr:uid="{DB70A82D-5FEF-6045-A588-33BFA7656D20}"/>
    <hyperlink ref="C25" r:id="rId13" xr:uid="{CE24365D-6441-1E4B-991D-39641D1A86A5}"/>
    <hyperlink ref="C26" r:id="rId14" xr:uid="{F6C6F617-236E-6F4A-AD48-8739E649FB69}"/>
    <hyperlink ref="C32" r:id="rId15" xr:uid="{ACA9C486-5CCD-7740-9BA1-50F9516909F9}"/>
    <hyperlink ref="C31" r:id="rId16" xr:uid="{146DAC6F-7BDD-0E4E-8912-D86630E4E915}"/>
    <hyperlink ref="C9" r:id="rId17" xr:uid="{41FEF591-5104-AF48-B109-6A38B980BFF2}"/>
    <hyperlink ref="E34" r:id="rId18" xr:uid="{0529E9EF-E93F-4E42-89CF-DF4EE7333C59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7979-D5C5-7141-BECB-B5B2CD73E2DD}">
  <dimension ref="B1:M9"/>
  <sheetViews>
    <sheetView zoomScale="75" workbookViewId="0">
      <selection activeCell="B12" sqref="B12"/>
    </sheetView>
  </sheetViews>
  <sheetFormatPr baseColWidth="10" defaultRowHeight="16"/>
  <cols>
    <col min="1" max="1" width="4.33203125" customWidth="1"/>
    <col min="2" max="2" width="18.6640625" customWidth="1"/>
    <col min="3" max="3" width="17.6640625" customWidth="1"/>
    <col min="4" max="4" width="13.5" customWidth="1"/>
    <col min="5" max="5" width="26.83203125" customWidth="1"/>
    <col min="6" max="6" width="25.33203125" customWidth="1"/>
    <col min="7" max="7" width="25.1640625" customWidth="1"/>
    <col min="8" max="8" width="56.6640625" customWidth="1"/>
    <col min="9" max="9" width="23.6640625" customWidth="1"/>
    <col min="10" max="10" width="16.33203125" customWidth="1"/>
    <col min="12" max="12" width="11.6640625" bestFit="1" customWidth="1"/>
    <col min="13" max="13" width="40" customWidth="1"/>
  </cols>
  <sheetData>
    <row r="1" spans="2:13" ht="17" thickBot="1"/>
    <row r="2" spans="2:13" ht="73" customHeight="1" thickBot="1">
      <c r="B2" s="360"/>
      <c r="C2" s="361" t="s">
        <v>1135</v>
      </c>
      <c r="D2" s="381" t="s">
        <v>3</v>
      </c>
      <c r="E2" s="375" t="s">
        <v>1144</v>
      </c>
      <c r="F2" s="361" t="s">
        <v>1143</v>
      </c>
      <c r="G2" s="361" t="s">
        <v>1145</v>
      </c>
      <c r="H2" s="361" t="s">
        <v>1142</v>
      </c>
      <c r="I2" s="361" t="s">
        <v>1141</v>
      </c>
      <c r="J2" s="362" t="s">
        <v>1139</v>
      </c>
    </row>
    <row r="3" spans="2:13" ht="160" customHeight="1">
      <c r="B3" s="347" t="s">
        <v>74</v>
      </c>
      <c r="C3" s="363">
        <f>4189*1.22*3221.656382/4189 / 1000/BESS!J4</f>
        <v>4.7715308342239311E-2</v>
      </c>
      <c r="D3" s="382" t="s">
        <v>75</v>
      </c>
      <c r="E3" s="376">
        <f>16242/ 1000 / 20 *3600 /1000/BESS!J4</f>
        <v>3.5492018399787051E-2</v>
      </c>
      <c r="F3" s="349" t="s">
        <v>1085</v>
      </c>
      <c r="G3" s="350" t="s">
        <v>1087</v>
      </c>
      <c r="H3" s="348" t="s">
        <v>1089</v>
      </c>
      <c r="I3" s="351" t="s">
        <v>1088</v>
      </c>
      <c r="J3" s="345" t="s">
        <v>1103</v>
      </c>
      <c r="L3" s="357">
        <f>C5/((14083/ 1000 / 20 *3600 /1000/BESS!J4) + E4)</f>
        <v>1.0637971122484828</v>
      </c>
      <c r="M3" s="352" t="s">
        <v>1097</v>
      </c>
    </row>
    <row r="4" spans="2:13" ht="34">
      <c r="B4" s="344" t="s">
        <v>77</v>
      </c>
      <c r="C4" s="364">
        <f>8 * 1000 / BESS!J4 /1000</f>
        <v>9.711999999941727E-2</v>
      </c>
      <c r="D4" s="383" t="s">
        <v>75</v>
      </c>
      <c r="E4" s="377">
        <f>((7.87+9.49)/2) * 1000/BESS!J4 /1000</f>
        <v>0.10537519999936776</v>
      </c>
      <c r="F4" s="320" t="s">
        <v>1084</v>
      </c>
      <c r="G4" s="319" t="s">
        <v>1086</v>
      </c>
      <c r="H4" s="365">
        <f>2578/BESS!J4 /1000</f>
        <v>3.1296919999812219E-2</v>
      </c>
      <c r="I4" s="365"/>
      <c r="J4" s="6"/>
      <c r="L4" s="358">
        <f>C5/E5</f>
        <v>1.0281690089972386</v>
      </c>
      <c r="M4" s="354" t="s">
        <v>1096</v>
      </c>
    </row>
    <row r="5" spans="2:13" ht="51">
      <c r="B5" s="366" t="s">
        <v>1090</v>
      </c>
      <c r="C5" s="367">
        <f>C3+C4</f>
        <v>0.14483530834165659</v>
      </c>
      <c r="D5" s="384"/>
      <c r="E5" s="378">
        <f>E3+E4</f>
        <v>0.14086721839915481</v>
      </c>
      <c r="F5" s="368"/>
      <c r="G5" s="368" t="s">
        <v>1091</v>
      </c>
      <c r="H5" s="369">
        <f>2916/BESS!J4 /1000</f>
        <v>3.54002399997876E-2</v>
      </c>
      <c r="I5" s="370">
        <v>1.4567999999999999E-2</v>
      </c>
      <c r="J5" s="372">
        <f>(1200+1593)/BESS!J4 /1000</f>
        <v>3.3907019999796562E-2</v>
      </c>
      <c r="L5" s="358">
        <f>C5/G6</f>
        <v>23.860841572079998</v>
      </c>
      <c r="M5" s="354" t="s">
        <v>1094</v>
      </c>
    </row>
    <row r="6" spans="2:13" ht="34">
      <c r="B6" s="353" t="s">
        <v>1137</v>
      </c>
      <c r="C6" s="318"/>
      <c r="D6" s="354"/>
      <c r="E6" s="379"/>
      <c r="F6" s="318"/>
      <c r="G6" s="318">
        <f>0.5/BESS!J4</f>
        <v>6.0699999999635802E-3</v>
      </c>
      <c r="H6" s="318"/>
      <c r="I6" s="318"/>
      <c r="J6" s="6"/>
      <c r="L6" s="358">
        <f>C5/G7</f>
        <v>2.9826051965099998</v>
      </c>
      <c r="M6" s="354" t="s">
        <v>1095</v>
      </c>
    </row>
    <row r="7" spans="2:13" ht="17">
      <c r="B7" s="353" t="s">
        <v>1138</v>
      </c>
      <c r="C7" s="318"/>
      <c r="D7" s="354"/>
      <c r="E7" s="379"/>
      <c r="F7" s="318"/>
      <c r="G7" s="318">
        <f>4/BESS!J4</f>
        <v>4.8559999999708642E-2</v>
      </c>
      <c r="H7" s="371"/>
      <c r="I7" s="318"/>
      <c r="J7" s="354"/>
      <c r="L7" s="358">
        <f>C5/H5</f>
        <v>4.0913651529629629</v>
      </c>
      <c r="M7" s="354" t="s">
        <v>1093</v>
      </c>
    </row>
    <row r="8" spans="2:13" ht="35" thickBot="1">
      <c r="B8" s="355" t="s">
        <v>1101</v>
      </c>
      <c r="C8" s="373"/>
      <c r="D8" s="374"/>
      <c r="E8" s="380"/>
      <c r="F8" s="373" t="s">
        <v>1100</v>
      </c>
      <c r="G8" s="373"/>
      <c r="H8" s="373"/>
      <c r="I8" s="373"/>
      <c r="J8" s="374"/>
      <c r="L8" s="358">
        <f>C5/I5</f>
        <v>9.942017321640348</v>
      </c>
      <c r="M8" s="354" t="s">
        <v>1092</v>
      </c>
    </row>
    <row r="9" spans="2:13" ht="18" thickBot="1">
      <c r="L9" s="359">
        <f>C5/J5</f>
        <v>4.2715434250053699</v>
      </c>
      <c r="M9" s="356" t="s">
        <v>1104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2074D-ED4F-5C40-BB98-00BD515E1487}">
  <dimension ref="B1:R45"/>
  <sheetViews>
    <sheetView topLeftCell="F7" zoomScale="75" workbookViewId="0">
      <selection activeCell="N6" sqref="N6"/>
    </sheetView>
  </sheetViews>
  <sheetFormatPr baseColWidth="10" defaultColWidth="11" defaultRowHeight="16"/>
  <cols>
    <col min="2" max="2" width="18.6640625" customWidth="1"/>
    <col min="3" max="3" width="38.6640625" customWidth="1"/>
    <col min="4" max="4" width="20.83203125" customWidth="1"/>
    <col min="5" max="5" width="13.83203125" customWidth="1"/>
    <col min="6" max="6" width="50.6640625" customWidth="1"/>
    <col min="8" max="8" width="32.33203125" customWidth="1"/>
    <col min="9" max="9" width="13.83203125" customWidth="1"/>
    <col min="10" max="10" width="14" customWidth="1"/>
    <col min="11" max="11" width="21" customWidth="1"/>
    <col min="12" max="12" width="19.83203125" customWidth="1"/>
    <col min="14" max="14" width="26.1640625" customWidth="1"/>
    <col min="15" max="15" width="21.5" customWidth="1"/>
    <col min="16" max="16" width="25.1640625" customWidth="1"/>
    <col min="18" max="18" width="12" bestFit="1" customWidth="1"/>
  </cols>
  <sheetData>
    <row r="1" spans="2:18" ht="23" thickBot="1">
      <c r="B1" s="10" t="s">
        <v>277</v>
      </c>
      <c r="C1" s="11" t="s">
        <v>1</v>
      </c>
      <c r="D1" s="11" t="s">
        <v>2</v>
      </c>
      <c r="E1" s="12" t="s">
        <v>3</v>
      </c>
      <c r="F1" s="12" t="s">
        <v>4</v>
      </c>
      <c r="G1" s="12" t="s">
        <v>5</v>
      </c>
      <c r="H1" s="77" t="s">
        <v>6</v>
      </c>
    </row>
    <row r="2" spans="2:18" ht="22" thickBot="1">
      <c r="B2" s="275" t="s">
        <v>101</v>
      </c>
      <c r="C2" s="276"/>
      <c r="D2" s="276"/>
      <c r="E2" s="276"/>
      <c r="F2" s="276"/>
      <c r="G2" s="276"/>
      <c r="H2" s="277"/>
    </row>
    <row r="3" spans="2:18" ht="49" customHeight="1" thickBot="1">
      <c r="B3" s="22"/>
      <c r="C3" s="385" t="s">
        <v>278</v>
      </c>
      <c r="D3" s="385">
        <f>235*K12/K11</f>
        <v>251.62895114942532</v>
      </c>
      <c r="E3" s="385" t="s">
        <v>279</v>
      </c>
      <c r="F3" s="9" t="s">
        <v>280</v>
      </c>
      <c r="G3" s="9" t="s">
        <v>114</v>
      </c>
      <c r="H3" s="23" t="s">
        <v>281</v>
      </c>
      <c r="J3" s="386" t="s">
        <v>282</v>
      </c>
      <c r="K3" s="387"/>
      <c r="L3" s="388"/>
      <c r="N3" s="273" t="s">
        <v>283</v>
      </c>
      <c r="O3" s="274"/>
      <c r="P3" s="33"/>
    </row>
    <row r="4" spans="2:18" ht="56" customHeight="1" thickBot="1">
      <c r="B4" s="22"/>
      <c r="C4" s="385" t="s">
        <v>284</v>
      </c>
      <c r="D4" s="385">
        <f>1210*K12/K11</f>
        <v>1295.6214080459772</v>
      </c>
      <c r="E4" s="385" t="s">
        <v>279</v>
      </c>
      <c r="F4" s="9" t="s">
        <v>285</v>
      </c>
      <c r="G4" s="9" t="s">
        <v>114</v>
      </c>
      <c r="H4" s="23" t="s">
        <v>281</v>
      </c>
      <c r="J4" s="5" t="s">
        <v>286</v>
      </c>
      <c r="K4">
        <v>100</v>
      </c>
      <c r="L4" s="6" t="s">
        <v>287</v>
      </c>
      <c r="N4" s="36" t="s">
        <v>0</v>
      </c>
      <c r="O4" s="37" t="s">
        <v>288</v>
      </c>
      <c r="P4" s="38" t="s">
        <v>289</v>
      </c>
    </row>
    <row r="5" spans="2:18" ht="44" customHeight="1">
      <c r="B5" s="22"/>
      <c r="C5" s="385" t="s">
        <v>290</v>
      </c>
      <c r="D5" s="385">
        <f>((3.5+2.5)*K12/K11)+D6</f>
        <v>7.0241954022988509</v>
      </c>
      <c r="E5" s="385" t="s">
        <v>291</v>
      </c>
      <c r="F5" s="9" t="s">
        <v>292</v>
      </c>
      <c r="G5" s="9" t="s">
        <v>293</v>
      </c>
      <c r="H5" s="23" t="s">
        <v>281</v>
      </c>
      <c r="J5" s="5" t="s">
        <v>294</v>
      </c>
      <c r="K5">
        <v>0.45</v>
      </c>
      <c r="L5" s="6" t="s">
        <v>47</v>
      </c>
      <c r="N5" s="5" t="s">
        <v>295</v>
      </c>
      <c r="O5" s="6">
        <v>7.04</v>
      </c>
      <c r="P5" s="34">
        <f>O5*(K9/K10)</f>
        <v>9.4227692307692301</v>
      </c>
    </row>
    <row r="6" spans="2:18" ht="53" customHeight="1" thickBot="1">
      <c r="B6" s="22"/>
      <c r="C6" s="385" t="s">
        <v>296</v>
      </c>
      <c r="D6" s="385">
        <f>0.56*K12/K11</f>
        <v>0.59962643678160932</v>
      </c>
      <c r="E6" s="385" t="s">
        <v>291</v>
      </c>
      <c r="F6" s="9" t="s">
        <v>297</v>
      </c>
      <c r="G6" s="9" t="s">
        <v>293</v>
      </c>
      <c r="H6" s="23" t="s">
        <v>281</v>
      </c>
      <c r="J6" s="2" t="s">
        <v>298</v>
      </c>
      <c r="K6" s="3">
        <v>6</v>
      </c>
      <c r="L6" s="4" t="s">
        <v>32</v>
      </c>
      <c r="N6" s="5" t="s">
        <v>299</v>
      </c>
      <c r="O6" s="6">
        <v>3.14</v>
      </c>
      <c r="P6" s="34">
        <f>O6*(K9/K10)</f>
        <v>4.2027692307692304</v>
      </c>
    </row>
    <row r="7" spans="2:18" ht="42" customHeight="1" thickBot="1">
      <c r="B7" s="22"/>
      <c r="C7" s="385" t="s">
        <v>300</v>
      </c>
      <c r="D7" s="385">
        <f>1.3</f>
        <v>1.3</v>
      </c>
      <c r="E7" s="385" t="s">
        <v>291</v>
      </c>
      <c r="F7" s="9" t="s">
        <v>301</v>
      </c>
      <c r="G7" s="9" t="s">
        <v>302</v>
      </c>
      <c r="H7" s="23" t="s">
        <v>303</v>
      </c>
      <c r="N7" s="5" t="s">
        <v>304</v>
      </c>
      <c r="O7" s="6">
        <v>2.65</v>
      </c>
      <c r="P7" s="34">
        <f>O7*(K9/K10)</f>
        <v>3.5469230769230764</v>
      </c>
    </row>
    <row r="8" spans="2:18" ht="35" thickBot="1">
      <c r="B8" s="5"/>
      <c r="C8" t="s">
        <v>305</v>
      </c>
      <c r="D8">
        <f>K20</f>
        <v>1835.6</v>
      </c>
      <c r="E8" t="s">
        <v>306</v>
      </c>
      <c r="F8" t="s">
        <v>307</v>
      </c>
      <c r="G8" t="s">
        <v>308</v>
      </c>
      <c r="H8" s="6" t="s">
        <v>309</v>
      </c>
      <c r="J8" s="47" t="s">
        <v>310</v>
      </c>
      <c r="K8" s="48" t="s">
        <v>2</v>
      </c>
      <c r="L8" s="49" t="s">
        <v>311</v>
      </c>
      <c r="N8" s="5" t="s">
        <v>312</v>
      </c>
      <c r="O8" s="6">
        <v>12.1</v>
      </c>
      <c r="P8" s="34">
        <f>O8*(K9/K10)</f>
        <v>16.195384615384615</v>
      </c>
    </row>
    <row r="9" spans="2:18" ht="17">
      <c r="B9" s="5"/>
      <c r="C9" s="9" t="s">
        <v>313</v>
      </c>
      <c r="D9" s="9">
        <f>K23</f>
        <v>7959.5</v>
      </c>
      <c r="E9" s="9" t="s">
        <v>306</v>
      </c>
      <c r="F9" s="9" t="s">
        <v>314</v>
      </c>
      <c r="G9" s="9" t="s">
        <v>315</v>
      </c>
      <c r="H9" s="6"/>
      <c r="J9" s="5" t="s">
        <v>316</v>
      </c>
      <c r="K9">
        <v>127.02</v>
      </c>
      <c r="L9" s="31" t="s">
        <v>317</v>
      </c>
      <c r="N9" s="5" t="s">
        <v>318</v>
      </c>
      <c r="O9" s="6">
        <v>0.9</v>
      </c>
      <c r="P9" s="34">
        <f>O9*(K9/K10)</f>
        <v>1.2046153846153846</v>
      </c>
      <c r="R9" s="32"/>
    </row>
    <row r="10" spans="2:18" ht="18" thickBot="1">
      <c r="B10" s="5"/>
      <c r="C10" s="9" t="s">
        <v>319</v>
      </c>
      <c r="D10">
        <v>7850</v>
      </c>
      <c r="E10" s="9" t="s">
        <v>306</v>
      </c>
      <c r="F10" s="9" t="s">
        <v>320</v>
      </c>
      <c r="G10" s="9" t="s">
        <v>321</v>
      </c>
      <c r="H10" s="6"/>
      <c r="J10" s="2" t="s">
        <v>322</v>
      </c>
      <c r="K10" s="3">
        <v>94.9</v>
      </c>
      <c r="L10" s="4" t="s">
        <v>317</v>
      </c>
      <c r="N10" s="2" t="s">
        <v>323</v>
      </c>
      <c r="O10" s="4">
        <v>0.39</v>
      </c>
      <c r="P10" s="35">
        <f>O10*(K9/K10)</f>
        <v>0.52200000000000002</v>
      </c>
    </row>
    <row r="11" spans="2:18" ht="17">
      <c r="B11" s="5"/>
      <c r="C11" s="9" t="s">
        <v>324</v>
      </c>
      <c r="D11">
        <v>6.3499999999999997E-3</v>
      </c>
      <c r="E11" s="9" t="s">
        <v>148</v>
      </c>
      <c r="F11" t="s">
        <v>325</v>
      </c>
      <c r="G11" s="9" t="s">
        <v>326</v>
      </c>
      <c r="H11" s="6"/>
      <c r="J11" s="39" t="s">
        <v>327</v>
      </c>
      <c r="K11" s="40">
        <v>556.79999999999995</v>
      </c>
      <c r="L11" s="41" t="s">
        <v>328</v>
      </c>
      <c r="P11" s="62"/>
    </row>
    <row r="12" spans="2:18" ht="18" thickBot="1">
      <c r="B12" s="2"/>
      <c r="C12" s="9" t="s">
        <v>329</v>
      </c>
      <c r="D12" s="3">
        <v>12</v>
      </c>
      <c r="E12" s="3" t="s">
        <v>148</v>
      </c>
      <c r="F12" s="25" t="s">
        <v>330</v>
      </c>
      <c r="G12" s="3" t="s">
        <v>326</v>
      </c>
      <c r="H12" s="4"/>
      <c r="J12" s="2" t="s">
        <v>331</v>
      </c>
      <c r="K12" s="3">
        <v>596.20000000000005</v>
      </c>
      <c r="L12" s="4" t="s">
        <v>328</v>
      </c>
    </row>
    <row r="13" spans="2:18" ht="28" customHeight="1" thickBot="1">
      <c r="B13" s="278" t="s">
        <v>332</v>
      </c>
      <c r="C13" s="279"/>
      <c r="D13" s="279"/>
      <c r="E13" s="279"/>
      <c r="F13" s="279"/>
      <c r="G13" s="279"/>
      <c r="H13" s="280"/>
    </row>
    <row r="14" spans="2:18" ht="17">
      <c r="B14" s="39"/>
      <c r="C14" s="50" t="s">
        <v>333</v>
      </c>
      <c r="D14" s="40">
        <f>Parameters!D29-Parameters!D30</f>
        <v>277</v>
      </c>
      <c r="E14" s="50" t="s">
        <v>91</v>
      </c>
      <c r="F14" s="40" t="s">
        <v>334</v>
      </c>
      <c r="G14" s="40"/>
      <c r="H14" s="41"/>
    </row>
    <row r="15" spans="2:18" ht="17">
      <c r="B15" s="5"/>
      <c r="C15" s="9" t="s">
        <v>335</v>
      </c>
      <c r="D15">
        <f>Parameters!D31</f>
        <v>1.56</v>
      </c>
      <c r="E15" t="s">
        <v>336</v>
      </c>
      <c r="F15" t="s">
        <v>337</v>
      </c>
      <c r="H15" s="6"/>
    </row>
    <row r="16" spans="2:18" ht="18" thickBot="1">
      <c r="B16" s="5"/>
      <c r="C16" s="9" t="s">
        <v>338</v>
      </c>
      <c r="D16">
        <f>D11+D12</f>
        <v>12.006349999999999</v>
      </c>
      <c r="E16" t="s">
        <v>148</v>
      </c>
      <c r="F16" t="s">
        <v>339</v>
      </c>
      <c r="H16" s="6"/>
    </row>
    <row r="17" spans="2:12" ht="18" thickBot="1">
      <c r="B17" s="5"/>
      <c r="C17" s="9" t="s">
        <v>340</v>
      </c>
      <c r="D17">
        <v>2</v>
      </c>
      <c r="E17" t="s">
        <v>341</v>
      </c>
      <c r="F17" t="s">
        <v>342</v>
      </c>
      <c r="H17" s="6"/>
      <c r="J17" s="45"/>
      <c r="K17" s="46" t="s">
        <v>2</v>
      </c>
      <c r="L17" s="46" t="s">
        <v>311</v>
      </c>
    </row>
    <row r="18" spans="2:12" ht="18" thickBot="1">
      <c r="B18" s="5"/>
      <c r="C18" s="385" t="s">
        <v>343</v>
      </c>
      <c r="D18" s="342">
        <v>1</v>
      </c>
      <c r="E18" s="342" t="s">
        <v>343</v>
      </c>
      <c r="F18" s="342" t="s">
        <v>344</v>
      </c>
      <c r="H18" s="6"/>
      <c r="J18" s="33"/>
      <c r="K18" s="27"/>
      <c r="L18" s="28"/>
    </row>
    <row r="19" spans="2:12" ht="52" thickBot="1">
      <c r="B19" s="5"/>
      <c r="C19" s="9" t="s">
        <v>345</v>
      </c>
      <c r="D19">
        <f>D18*3600*1000</f>
        <v>3600000</v>
      </c>
      <c r="E19" t="s">
        <v>346</v>
      </c>
      <c r="F19" t="s">
        <v>347</v>
      </c>
      <c r="H19" s="6"/>
      <c r="J19" s="33" t="s">
        <v>348</v>
      </c>
      <c r="K19" s="40">
        <v>400</v>
      </c>
      <c r="L19" s="41" t="s">
        <v>349</v>
      </c>
    </row>
    <row r="20" spans="2:12" ht="86" thickBot="1">
      <c r="B20" s="5"/>
      <c r="C20" s="9" t="s">
        <v>350</v>
      </c>
      <c r="D20">
        <f>D19/(D15*D14*D17)</f>
        <v>4165.5095806720356</v>
      </c>
      <c r="E20" t="s">
        <v>351</v>
      </c>
      <c r="F20" t="s">
        <v>352</v>
      </c>
      <c r="H20" s="6"/>
      <c r="J20" s="43" t="s">
        <v>353</v>
      </c>
      <c r="K20" s="21">
        <f>2090 - 0.636*K19</f>
        <v>1835.6</v>
      </c>
      <c r="L20" s="30" t="s">
        <v>354</v>
      </c>
    </row>
    <row r="21" spans="2:12" ht="51">
      <c r="B21" s="5"/>
      <c r="C21" s="9" t="s">
        <v>355</v>
      </c>
      <c r="D21">
        <f>SQRT(D20/(PI()*D12*D8))</f>
        <v>0.24534628422103175</v>
      </c>
      <c r="E21" t="s">
        <v>148</v>
      </c>
      <c r="F21" t="s">
        <v>356</v>
      </c>
      <c r="H21" s="6"/>
      <c r="J21" s="44" t="s">
        <v>357</v>
      </c>
      <c r="K21">
        <v>7930</v>
      </c>
      <c r="L21" s="6" t="s">
        <v>321</v>
      </c>
    </row>
    <row r="22" spans="2:12" ht="52" thickBot="1">
      <c r="B22" s="5"/>
      <c r="C22" s="9" t="s">
        <v>358</v>
      </c>
      <c r="D22">
        <f>D21+D11</f>
        <v>0.25169628422103174</v>
      </c>
      <c r="E22" t="s">
        <v>148</v>
      </c>
      <c r="F22" t="s">
        <v>359</v>
      </c>
      <c r="H22" s="6"/>
      <c r="J22" s="42" t="s">
        <v>360</v>
      </c>
      <c r="K22" s="3">
        <v>7989</v>
      </c>
      <c r="L22" s="4" t="s">
        <v>321</v>
      </c>
    </row>
    <row r="23" spans="2:12" ht="69" thickBot="1">
      <c r="B23" s="5"/>
      <c r="C23" s="9" t="s">
        <v>361</v>
      </c>
      <c r="D23">
        <f>(2*PI()*D21*D12) + (PI()*POWER(D21,2))</f>
        <v>18.687781557155876</v>
      </c>
      <c r="E23" t="s">
        <v>362</v>
      </c>
      <c r="F23" t="s">
        <v>363</v>
      </c>
      <c r="H23" s="6"/>
      <c r="J23" s="43" t="s">
        <v>364</v>
      </c>
      <c r="K23" s="21">
        <f>AVERAGE(K21:K22)</f>
        <v>7959.5</v>
      </c>
      <c r="L23" s="30" t="s">
        <v>365</v>
      </c>
    </row>
    <row r="24" spans="2:12" ht="17">
      <c r="B24" s="5"/>
      <c r="C24" s="9" t="s">
        <v>366</v>
      </c>
      <c r="D24">
        <f>POWER((D22*2),2)</f>
        <v>0.25340407796269759</v>
      </c>
      <c r="E24" t="s">
        <v>362</v>
      </c>
      <c r="F24" t="s">
        <v>367</v>
      </c>
      <c r="H24" s="6"/>
    </row>
    <row r="25" spans="2:12" ht="17">
      <c r="B25" s="5"/>
      <c r="C25" s="9" t="s">
        <v>368</v>
      </c>
      <c r="D25">
        <f>(PI()*POWER(D22,2)*D16) - (PI()*POWER(D21,2)*D12) + (2*PI()*POWER(D22,2)*D11)</f>
        <v>0.12277809245929974</v>
      </c>
      <c r="E25" t="s">
        <v>369</v>
      </c>
      <c r="F25" t="s">
        <v>370</v>
      </c>
      <c r="H25" s="6"/>
    </row>
    <row r="26" spans="2:12" ht="17">
      <c r="B26" s="5"/>
      <c r="C26" s="9" t="s">
        <v>371</v>
      </c>
      <c r="D26">
        <f>D25/D10</f>
        <v>1.5640521332394873E-5</v>
      </c>
      <c r="E26" t="s">
        <v>351</v>
      </c>
      <c r="F26" t="s">
        <v>372</v>
      </c>
      <c r="H26" s="6"/>
    </row>
    <row r="27" spans="2:12" ht="17">
      <c r="B27" s="5"/>
      <c r="C27" s="9" t="s">
        <v>373</v>
      </c>
      <c r="D27">
        <f>D25/D9</f>
        <v>1.5425352403957502E-5</v>
      </c>
      <c r="E27" t="s">
        <v>351</v>
      </c>
      <c r="F27" t="s">
        <v>374</v>
      </c>
      <c r="H27" s="6"/>
    </row>
    <row r="28" spans="2:12" ht="17">
      <c r="B28" s="5"/>
      <c r="C28" s="9" t="s">
        <v>375</v>
      </c>
      <c r="D28">
        <f>(D23*D3) + (D24*D4) +(D20*D7)</f>
        <v>10445.865075704976</v>
      </c>
      <c r="E28" t="s">
        <v>376</v>
      </c>
      <c r="F28" t="s">
        <v>377</v>
      </c>
      <c r="H28" s="6"/>
    </row>
    <row r="29" spans="2:12" ht="17">
      <c r="B29" s="5"/>
      <c r="C29" s="9" t="s">
        <v>378</v>
      </c>
      <c r="D29">
        <f>(D23*D3) + (D24*D4) + (D27*D5) + (D20*D7)</f>
        <v>10445.865184055667</v>
      </c>
      <c r="E29" t="s">
        <v>376</v>
      </c>
      <c r="F29" t="s">
        <v>379</v>
      </c>
      <c r="H29" s="6"/>
    </row>
    <row r="30" spans="2:12" ht="18" thickBot="1">
      <c r="B30" s="2"/>
      <c r="C30" s="25" t="s">
        <v>102</v>
      </c>
      <c r="D30" s="3">
        <f>SUM(D28:D29)</f>
        <v>20891.730259760643</v>
      </c>
      <c r="E30" s="3" t="s">
        <v>376</v>
      </c>
      <c r="F30" s="3" t="s">
        <v>380</v>
      </c>
      <c r="G30" s="3"/>
      <c r="H30" s="4"/>
    </row>
    <row r="31" spans="2:12" ht="17">
      <c r="B31" s="51"/>
      <c r="C31" s="58" t="s">
        <v>381</v>
      </c>
      <c r="D31" s="59">
        <f>D30/1000</f>
        <v>20.891730259760642</v>
      </c>
      <c r="E31" s="52" t="s">
        <v>103</v>
      </c>
      <c r="F31" s="52" t="s">
        <v>382</v>
      </c>
      <c r="G31" s="52"/>
      <c r="H31" s="53"/>
    </row>
    <row r="32" spans="2:12" ht="18" thickBot="1">
      <c r="B32" s="54"/>
      <c r="C32" s="72" t="s">
        <v>383</v>
      </c>
      <c r="D32" s="78">
        <f>(P9+P10)*K6*K5</f>
        <v>4.6618615384615385</v>
      </c>
      <c r="E32" s="55" t="s">
        <v>139</v>
      </c>
      <c r="F32" s="55" t="s">
        <v>384</v>
      </c>
      <c r="G32" s="55"/>
      <c r="H32" s="56"/>
    </row>
    <row r="33" spans="2:8" ht="18" thickBot="1">
      <c r="B33" s="175"/>
      <c r="C33" s="176" t="s">
        <v>385</v>
      </c>
      <c r="D33" s="176">
        <f>(D22+10)*(D22+10)*PI()*2</f>
        <v>660.3456648106029</v>
      </c>
      <c r="E33" s="176" t="s">
        <v>362</v>
      </c>
      <c r="F33" s="176" t="s">
        <v>386</v>
      </c>
      <c r="G33" s="176" t="s">
        <v>387</v>
      </c>
      <c r="H33" s="177"/>
    </row>
    <row r="37" spans="2:8" ht="17">
      <c r="D37" t="s">
        <v>388</v>
      </c>
    </row>
    <row r="38" spans="2:8" ht="17">
      <c r="D38">
        <f>(D20*D7)/D28</f>
        <v>0.51840248898755614</v>
      </c>
      <c r="E38" t="s">
        <v>389</v>
      </c>
    </row>
    <row r="39" spans="2:8" ht="35" thickBot="1">
      <c r="D39">
        <f>((D23*D3) + (D24*D4) )/ D28</f>
        <v>0.48159751101244386</v>
      </c>
      <c r="E39" t="s">
        <v>390</v>
      </c>
    </row>
    <row r="40" spans="2:8" ht="17" customHeight="1">
      <c r="C40" s="273" t="s">
        <v>391</v>
      </c>
      <c r="D40" s="274"/>
    </row>
    <row r="41" spans="2:8" ht="17">
      <c r="C41" s="5" t="s">
        <v>343</v>
      </c>
      <c r="D41" s="6" t="s">
        <v>392</v>
      </c>
    </row>
    <row r="42" spans="2:8">
      <c r="C42" s="5">
        <v>200</v>
      </c>
      <c r="D42" s="6">
        <v>2423</v>
      </c>
    </row>
    <row r="43" spans="2:8">
      <c r="C43" s="5">
        <v>1000</v>
      </c>
      <c r="D43" s="6">
        <v>11777</v>
      </c>
    </row>
    <row r="44" spans="2:8">
      <c r="C44" s="5">
        <v>3000</v>
      </c>
      <c r="D44" s="6">
        <v>34983</v>
      </c>
    </row>
    <row r="45" spans="2:8" ht="17" thickBot="1">
      <c r="C45" s="2">
        <v>4000</v>
      </c>
      <c r="D45" s="4">
        <v>46559</v>
      </c>
    </row>
  </sheetData>
  <mergeCells count="5">
    <mergeCell ref="C40:D40"/>
    <mergeCell ref="B2:H2"/>
    <mergeCell ref="N3:O3"/>
    <mergeCell ref="J3:L3"/>
    <mergeCell ref="B13:H13"/>
  </mergeCells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F478-16B8-9C41-9B03-A6DB948C65CF}">
  <dimension ref="B1:AM20"/>
  <sheetViews>
    <sheetView topLeftCell="O13" workbookViewId="0">
      <selection activeCell="S2" sqref="S2"/>
    </sheetView>
  </sheetViews>
  <sheetFormatPr baseColWidth="10" defaultColWidth="11" defaultRowHeight="16"/>
  <cols>
    <col min="2" max="2" width="25.6640625" customWidth="1"/>
    <col min="3" max="3" width="29.33203125" customWidth="1"/>
    <col min="4" max="4" width="18.5" customWidth="1"/>
    <col min="6" max="6" width="29" customWidth="1"/>
    <col min="7" max="7" width="17" customWidth="1"/>
    <col min="8" max="8" width="21.6640625" customWidth="1"/>
    <col min="10" max="13" width="11.6640625" bestFit="1" customWidth="1"/>
    <col min="15" max="15" width="29.1640625" customWidth="1"/>
    <col min="18" max="18" width="12.5" customWidth="1"/>
    <col min="19" max="19" width="11.6640625" bestFit="1" customWidth="1"/>
    <col min="21" max="21" width="11.6640625" bestFit="1" customWidth="1"/>
    <col min="34" max="34" width="11.6640625" bestFit="1" customWidth="1"/>
    <col min="39" max="39" width="11.6640625" bestFit="1" customWidth="1"/>
  </cols>
  <sheetData>
    <row r="1" spans="2:39" ht="41" thickBot="1">
      <c r="Q1" s="400"/>
      <c r="R1" s="401" t="s">
        <v>1147</v>
      </c>
      <c r="S1" s="402" t="s">
        <v>2</v>
      </c>
      <c r="T1" s="402" t="s">
        <v>3</v>
      </c>
      <c r="U1" s="403" t="s">
        <v>6</v>
      </c>
      <c r="V1" s="404" t="s">
        <v>5</v>
      </c>
    </row>
    <row r="2" spans="2:39" ht="120" thickBot="1">
      <c r="B2" s="10" t="s">
        <v>277</v>
      </c>
      <c r="C2" s="11" t="s">
        <v>1</v>
      </c>
      <c r="D2" s="11" t="s">
        <v>2</v>
      </c>
      <c r="E2" s="12" t="s">
        <v>3</v>
      </c>
      <c r="F2" s="12" t="s">
        <v>4</v>
      </c>
      <c r="G2" s="12" t="s">
        <v>5</v>
      </c>
      <c r="H2" s="77" t="s">
        <v>6</v>
      </c>
      <c r="Q2" s="5" t="s">
        <v>123</v>
      </c>
      <c r="R2" s="257" t="s">
        <v>115</v>
      </c>
      <c r="S2" s="398">
        <f>281.3*505*1.2 / 1000 * 2.55</f>
        <v>434.69288999999992</v>
      </c>
      <c r="T2" t="s">
        <v>83</v>
      </c>
      <c r="U2" s="6" t="s">
        <v>393</v>
      </c>
      <c r="V2" s="44" t="s">
        <v>394</v>
      </c>
    </row>
    <row r="3" spans="2:39" ht="22" thickBot="1">
      <c r="B3" s="281" t="s">
        <v>112</v>
      </c>
      <c r="C3" s="282"/>
      <c r="D3" s="282"/>
      <c r="E3" s="282"/>
      <c r="F3" s="282"/>
      <c r="G3" s="282"/>
      <c r="H3" s="283"/>
      <c r="Q3" s="5" t="s">
        <v>117</v>
      </c>
      <c r="R3" s="257" t="s">
        <v>116</v>
      </c>
      <c r="S3" s="398">
        <f>5000*260.7*1.2 / 1000 *1.76</f>
        <v>2752.9920000000002</v>
      </c>
      <c r="T3" t="s">
        <v>83</v>
      </c>
      <c r="U3" s="6"/>
      <c r="V3" s="44" t="s">
        <v>394</v>
      </c>
    </row>
    <row r="4" spans="2:39" ht="71" customHeight="1">
      <c r="B4" s="22"/>
      <c r="C4" s="9" t="s">
        <v>395</v>
      </c>
      <c r="D4" s="9">
        <v>50</v>
      </c>
      <c r="E4" s="9" t="s">
        <v>396</v>
      </c>
      <c r="F4" s="9" t="s">
        <v>397</v>
      </c>
      <c r="G4" s="9" t="s">
        <v>398</v>
      </c>
      <c r="H4" s="178">
        <v>241.7</v>
      </c>
      <c r="Q4" s="5" t="s">
        <v>126</v>
      </c>
      <c r="R4" s="257" t="s">
        <v>118</v>
      </c>
      <c r="S4" s="398">
        <f>10000*107.2*1.73*1.2 / 1000</f>
        <v>2225.4720000000002</v>
      </c>
      <c r="T4" t="s">
        <v>83</v>
      </c>
      <c r="U4" s="6"/>
      <c r="V4" s="44" t="s">
        <v>394</v>
      </c>
    </row>
    <row r="5" spans="2:39" ht="71" customHeight="1">
      <c r="B5" s="22"/>
      <c r="C5" s="9" t="s">
        <v>399</v>
      </c>
      <c r="D5" s="9">
        <v>550</v>
      </c>
      <c r="E5" s="9" t="s">
        <v>396</v>
      </c>
      <c r="F5" s="9" t="s">
        <v>400</v>
      </c>
      <c r="G5" s="9" t="s">
        <v>398</v>
      </c>
      <c r="H5" s="9">
        <v>550</v>
      </c>
      <c r="I5" s="5"/>
      <c r="Q5" s="5"/>
      <c r="R5" s="257" t="s">
        <v>119</v>
      </c>
      <c r="S5" s="398"/>
      <c r="U5" s="6"/>
      <c r="V5" s="44" t="s">
        <v>394</v>
      </c>
    </row>
    <row r="6" spans="2:39" ht="74" customHeight="1">
      <c r="B6" s="22"/>
      <c r="C6" s="9" t="s">
        <v>401</v>
      </c>
      <c r="D6" s="9">
        <v>565</v>
      </c>
      <c r="E6" s="9" t="s">
        <v>396</v>
      </c>
      <c r="F6" s="9" t="s">
        <v>402</v>
      </c>
      <c r="G6" s="9" t="s">
        <v>398</v>
      </c>
      <c r="H6" s="23">
        <v>679</v>
      </c>
      <c r="Q6" s="5" t="s">
        <v>123</v>
      </c>
      <c r="R6" s="257" t="s">
        <v>121</v>
      </c>
      <c r="S6" s="398">
        <f>AA9*505 / 1000</f>
        <v>0.62670500000000007</v>
      </c>
      <c r="T6" t="s">
        <v>122</v>
      </c>
      <c r="U6" s="256" t="s">
        <v>133</v>
      </c>
      <c r="V6" s="44" t="s">
        <v>394</v>
      </c>
    </row>
    <row r="7" spans="2:39" ht="82" customHeight="1" thickBot="1">
      <c r="B7" s="22"/>
      <c r="C7" s="9" t="s">
        <v>403</v>
      </c>
      <c r="D7" s="9">
        <v>290</v>
      </c>
      <c r="E7" s="9" t="s">
        <v>396</v>
      </c>
      <c r="F7" s="9" t="s">
        <v>404</v>
      </c>
      <c r="G7" s="9" t="s">
        <v>398</v>
      </c>
      <c r="H7" s="9">
        <v>586</v>
      </c>
      <c r="I7" s="5"/>
      <c r="Q7" s="5" t="s">
        <v>117</v>
      </c>
      <c r="R7" s="257" t="s">
        <v>124</v>
      </c>
      <c r="S7" s="398">
        <f>AA10*5000/1000</f>
        <v>6.4749999999999996</v>
      </c>
      <c r="T7" t="s">
        <v>122</v>
      </c>
      <c r="U7" s="6"/>
      <c r="V7" s="44" t="s">
        <v>394</v>
      </c>
    </row>
    <row r="8" spans="2:39" ht="84" customHeight="1" thickBot="1">
      <c r="B8" s="22"/>
      <c r="C8" s="9" t="s">
        <v>405</v>
      </c>
      <c r="D8" s="9">
        <v>3400</v>
      </c>
      <c r="E8" s="9" t="s">
        <v>406</v>
      </c>
      <c r="F8" s="9" t="s">
        <v>407</v>
      </c>
      <c r="G8" s="9" t="s">
        <v>398</v>
      </c>
      <c r="H8" s="23"/>
      <c r="Q8" s="5" t="s">
        <v>126</v>
      </c>
      <c r="R8" s="257" t="s">
        <v>125</v>
      </c>
      <c r="S8" s="398">
        <f>AA11*10000/1000</f>
        <v>14.48</v>
      </c>
      <c r="T8" t="s">
        <v>122</v>
      </c>
      <c r="U8" s="6"/>
      <c r="V8" s="44" t="s">
        <v>394</v>
      </c>
      <c r="AG8" s="43" t="s">
        <v>122</v>
      </c>
      <c r="AH8" s="30" t="s">
        <v>362</v>
      </c>
    </row>
    <row r="9" spans="2:39" ht="84" customHeight="1" thickBot="1">
      <c r="B9" s="22"/>
      <c r="C9" s="9" t="s">
        <v>408</v>
      </c>
      <c r="D9" s="9">
        <f>299.17/218.56</f>
        <v>1.368823206442167</v>
      </c>
      <c r="E9" s="9"/>
      <c r="F9" s="9" t="s">
        <v>409</v>
      </c>
      <c r="G9" s="9" t="s">
        <v>410</v>
      </c>
      <c r="H9" s="23"/>
      <c r="K9" s="43" t="s">
        <v>411</v>
      </c>
      <c r="L9" s="21">
        <v>7.0000000000000007E-2</v>
      </c>
      <c r="M9" s="30" t="s">
        <v>412</v>
      </c>
      <c r="Q9" s="5"/>
      <c r="R9" s="257" t="s">
        <v>127</v>
      </c>
      <c r="S9" s="398">
        <v>0.6</v>
      </c>
      <c r="U9" s="6"/>
      <c r="V9" s="44" t="s">
        <v>394</v>
      </c>
      <c r="Z9" s="39" t="s">
        <v>413</v>
      </c>
      <c r="AA9" s="40">
        <f>1241/1000</f>
        <v>1.2410000000000001</v>
      </c>
      <c r="AB9" s="40" t="s">
        <v>414</v>
      </c>
      <c r="AC9" s="40" t="s">
        <v>123</v>
      </c>
      <c r="AD9" s="41" t="s">
        <v>415</v>
      </c>
      <c r="AG9" s="5">
        <v>5.4</v>
      </c>
      <c r="AH9" s="6">
        <f>AG9/AA9 *1000</f>
        <v>4351.3295729250603</v>
      </c>
      <c r="AM9">
        <f>0.41*4372/496</f>
        <v>3.6139516129032256</v>
      </c>
    </row>
    <row r="10" spans="2:39" ht="84" customHeight="1">
      <c r="B10" s="22"/>
      <c r="C10" s="9" t="s">
        <v>411</v>
      </c>
      <c r="D10" s="9">
        <v>3804.16</v>
      </c>
      <c r="E10" s="9" t="s">
        <v>416</v>
      </c>
      <c r="F10" s="9" t="s">
        <v>417</v>
      </c>
      <c r="G10" s="9"/>
      <c r="H10" s="23"/>
      <c r="Q10" s="5"/>
      <c r="R10" s="257" t="s">
        <v>129</v>
      </c>
      <c r="S10" s="398">
        <v>0.74099999999999999</v>
      </c>
      <c r="U10" s="6"/>
      <c r="V10" s="44" t="s">
        <v>394</v>
      </c>
      <c r="Z10" s="5" t="s">
        <v>418</v>
      </c>
      <c r="AA10">
        <f>1295/1000</f>
        <v>1.2949999999999999</v>
      </c>
      <c r="AB10" t="s">
        <v>414</v>
      </c>
      <c r="AC10" t="s">
        <v>117</v>
      </c>
      <c r="AD10" s="6" t="s">
        <v>415</v>
      </c>
      <c r="AG10" s="5">
        <v>2.9</v>
      </c>
      <c r="AH10" s="6">
        <f>AG10/AA10 *1000</f>
        <v>2239.3822393822393</v>
      </c>
    </row>
    <row r="11" spans="2:39" ht="84" customHeight="1" thickBot="1">
      <c r="B11" s="22"/>
      <c r="C11" s="9" t="s">
        <v>419</v>
      </c>
      <c r="D11" s="9">
        <v>4871.92</v>
      </c>
      <c r="E11" s="9" t="s">
        <v>420</v>
      </c>
      <c r="F11" s="9" t="s">
        <v>421</v>
      </c>
      <c r="G11" s="9"/>
      <c r="H11" s="23"/>
      <c r="Q11" s="5"/>
      <c r="R11" s="257" t="s">
        <v>130</v>
      </c>
      <c r="S11" s="398">
        <v>0.78800000000000003</v>
      </c>
      <c r="U11" s="6"/>
      <c r="V11" s="44" t="s">
        <v>394</v>
      </c>
      <c r="Z11" s="2" t="s">
        <v>422</v>
      </c>
      <c r="AA11" s="3">
        <f>1448/1000</f>
        <v>1.448</v>
      </c>
      <c r="AB11" s="3" t="s">
        <v>414</v>
      </c>
      <c r="AC11" s="3" t="s">
        <v>423</v>
      </c>
      <c r="AD11" s="4" t="s">
        <v>415</v>
      </c>
      <c r="AG11" s="2">
        <v>4</v>
      </c>
      <c r="AH11" s="4">
        <f>AG11/AA11 *1000</f>
        <v>2762.4309392265195</v>
      </c>
    </row>
    <row r="12" spans="2:39" ht="84" customHeight="1" thickBot="1">
      <c r="B12" s="22"/>
      <c r="C12" s="9" t="s">
        <v>424</v>
      </c>
      <c r="D12" s="9">
        <f>4000*1000</f>
        <v>4000000</v>
      </c>
      <c r="E12" s="9" t="s">
        <v>425</v>
      </c>
      <c r="F12" s="9" t="s">
        <v>426</v>
      </c>
      <c r="G12" s="9" t="s">
        <v>114</v>
      </c>
      <c r="H12" s="23"/>
      <c r="Q12" s="2"/>
      <c r="R12" s="258" t="s">
        <v>131</v>
      </c>
      <c r="S12" s="399">
        <v>0.68400000000000005</v>
      </c>
      <c r="T12" s="3"/>
      <c r="U12" s="4"/>
      <c r="V12" s="42" t="s">
        <v>394</v>
      </c>
    </row>
    <row r="13" spans="2:39" ht="48" customHeight="1" thickBot="1">
      <c r="B13" s="24"/>
      <c r="C13" s="25" t="s">
        <v>427</v>
      </c>
      <c r="D13" s="57">
        <v>301693000</v>
      </c>
      <c r="E13" s="25" t="s">
        <v>425</v>
      </c>
      <c r="F13" s="25" t="s">
        <v>428</v>
      </c>
      <c r="G13" s="25" t="s">
        <v>398</v>
      </c>
      <c r="H13" s="26"/>
    </row>
    <row r="14" spans="2:39" ht="22" thickBot="1">
      <c r="B14" s="284" t="s">
        <v>332</v>
      </c>
      <c r="C14" s="285"/>
      <c r="D14" s="285"/>
      <c r="E14" s="285"/>
      <c r="F14" s="285"/>
      <c r="G14" s="285"/>
      <c r="H14" s="286"/>
      <c r="K14" s="33" t="s">
        <v>429</v>
      </c>
      <c r="L14" s="171">
        <v>510</v>
      </c>
      <c r="M14" s="171">
        <v>930</v>
      </c>
      <c r="N14" s="172" t="s">
        <v>59</v>
      </c>
      <c r="O14" s="33" t="s">
        <v>6</v>
      </c>
    </row>
    <row r="15" spans="2:39" ht="34">
      <c r="B15" s="5"/>
      <c r="C15" s="9" t="s">
        <v>165</v>
      </c>
      <c r="D15">
        <f>D6-D5</f>
        <v>15</v>
      </c>
      <c r="E15" s="9" t="s">
        <v>91</v>
      </c>
      <c r="F15" s="9" t="s">
        <v>430</v>
      </c>
      <c r="G15" s="9"/>
      <c r="H15" s="6"/>
      <c r="K15" s="44" t="s">
        <v>431</v>
      </c>
      <c r="L15">
        <f>(Parameters!D59-Parameters!D62)/(LOG(Parameters!D59/Parameters!D62))</f>
        <v>228.03882692010095</v>
      </c>
      <c r="M15">
        <f>(Parameters!D59-Parameters!D62)/(LOG(Parameters!D59/Parameters!D62))</f>
        <v>228.03882692010095</v>
      </c>
      <c r="N15" s="6" t="s">
        <v>91</v>
      </c>
      <c r="O15" s="44"/>
    </row>
    <row r="16" spans="2:39" ht="34">
      <c r="B16" s="5"/>
      <c r="C16" s="9" t="s">
        <v>169</v>
      </c>
      <c r="D16">
        <f>D7-D4</f>
        <v>240</v>
      </c>
      <c r="E16" s="9" t="s">
        <v>91</v>
      </c>
      <c r="F16" s="9" t="s">
        <v>432</v>
      </c>
      <c r="H16" s="6"/>
      <c r="K16" s="44" t="s">
        <v>433</v>
      </c>
      <c r="L16">
        <f>(L14/0.35)/L15</f>
        <v>6.3898892869388577</v>
      </c>
      <c r="M16">
        <f>(M14/0.35)/M15</f>
        <v>11.65215105265321</v>
      </c>
      <c r="N16" s="6" t="s">
        <v>122</v>
      </c>
      <c r="O16" s="44"/>
    </row>
    <row r="17" spans="2:15" ht="34">
      <c r="B17" s="5"/>
      <c r="C17" s="9" t="s">
        <v>431</v>
      </c>
      <c r="D17">
        <f>(D15-D16) / (LN(D15/D16))</f>
        <v>81.151596050004201</v>
      </c>
      <c r="E17" t="s">
        <v>91</v>
      </c>
      <c r="F17" s="9" t="s">
        <v>434</v>
      </c>
      <c r="H17" s="6"/>
      <c r="K17" s="44" t="s">
        <v>435</v>
      </c>
      <c r="L17">
        <f>D19*(POWER(L16/D20,0.6)) *1000</f>
        <v>6196839.1823348645</v>
      </c>
      <c r="M17">
        <f>D19*(POWER(M16/D20,0.6)) *1000</f>
        <v>8886236.9438785482</v>
      </c>
      <c r="N17" s="6" t="s">
        <v>425</v>
      </c>
      <c r="O17" s="44"/>
    </row>
    <row r="18" spans="2:15" ht="39" customHeight="1" thickBot="1">
      <c r="B18" s="2"/>
      <c r="C18" s="25" t="s">
        <v>121</v>
      </c>
      <c r="D18" s="3">
        <f>D8/D17</f>
        <v>41.896896247178908</v>
      </c>
      <c r="E18" s="3" t="s">
        <v>436</v>
      </c>
      <c r="F18" s="25" t="s">
        <v>437</v>
      </c>
      <c r="G18" s="3" t="s">
        <v>398</v>
      </c>
      <c r="H18" s="4"/>
      <c r="K18" s="396" t="s">
        <v>427</v>
      </c>
      <c r="L18" s="397">
        <f>L17/L14</f>
        <v>12150.665063401695</v>
      </c>
      <c r="M18" s="397">
        <f>M17/M14</f>
        <v>9555.0934880414497</v>
      </c>
      <c r="N18" s="395" t="s">
        <v>438</v>
      </c>
      <c r="O18" s="42"/>
    </row>
    <row r="19" spans="2:15" ht="17">
      <c r="B19" s="389"/>
      <c r="C19" s="390" t="s">
        <v>113</v>
      </c>
      <c r="D19" s="390">
        <f>D12/1000</f>
        <v>4000</v>
      </c>
      <c r="E19" s="390" t="s">
        <v>439</v>
      </c>
      <c r="F19" s="390" t="s">
        <v>440</v>
      </c>
      <c r="G19" s="390" t="s">
        <v>114</v>
      </c>
      <c r="H19" s="391"/>
    </row>
    <row r="20" spans="2:15" ht="35" thickBot="1">
      <c r="B20" s="392"/>
      <c r="C20" s="393" t="s">
        <v>119</v>
      </c>
      <c r="D20" s="394">
        <f>1000/4/D17</f>
        <v>3.080654135821979</v>
      </c>
      <c r="E20" s="393" t="s">
        <v>122</v>
      </c>
      <c r="F20" s="393" t="s">
        <v>441</v>
      </c>
      <c r="G20" s="393" t="s">
        <v>114</v>
      </c>
      <c r="H20" s="395"/>
    </row>
  </sheetData>
  <mergeCells count="2">
    <mergeCell ref="B3:H3"/>
    <mergeCell ref="B14:H14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E4C7-DD61-6640-A319-2DE206283B71}">
  <dimension ref="B1:R20"/>
  <sheetViews>
    <sheetView topLeftCell="A18" workbookViewId="0">
      <selection activeCell="N8" sqref="N8"/>
    </sheetView>
  </sheetViews>
  <sheetFormatPr baseColWidth="10" defaultColWidth="11" defaultRowHeight="16"/>
  <cols>
    <col min="1" max="1" width="19.6640625" customWidth="1"/>
    <col min="2" max="2" width="15.33203125" customWidth="1"/>
    <col min="3" max="3" width="17" customWidth="1"/>
    <col min="4" max="4" width="15.6640625" customWidth="1"/>
    <col min="5" max="6" width="11.6640625" bestFit="1" customWidth="1"/>
    <col min="7" max="7" width="11.6640625" customWidth="1"/>
    <col min="8" max="9" width="11.6640625" bestFit="1" customWidth="1"/>
    <col min="12" max="13" width="11.6640625" bestFit="1" customWidth="1"/>
    <col min="15" max="15" width="24.1640625" bestFit="1" customWidth="1"/>
    <col min="16" max="16" width="14.6640625" bestFit="1" customWidth="1"/>
  </cols>
  <sheetData>
    <row r="1" spans="2:18" ht="17" thickBot="1"/>
    <row r="2" spans="2:18" ht="35" thickBot="1">
      <c r="B2" s="39"/>
      <c r="C2" s="40"/>
      <c r="D2" s="40" t="s">
        <v>442</v>
      </c>
      <c r="E2" s="40" t="s">
        <v>443</v>
      </c>
      <c r="F2" s="40" t="s">
        <v>444</v>
      </c>
      <c r="G2" s="40" t="s">
        <v>445</v>
      </c>
      <c r="H2" s="40" t="s">
        <v>446</v>
      </c>
      <c r="I2" s="40" t="s">
        <v>447</v>
      </c>
      <c r="J2" s="41" t="s">
        <v>448</v>
      </c>
      <c r="L2" s="39" t="s">
        <v>449</v>
      </c>
      <c r="M2" s="40"/>
      <c r="N2" s="171" t="s">
        <v>450</v>
      </c>
      <c r="O2" s="172" t="s">
        <v>451</v>
      </c>
      <c r="Q2" s="43" t="s">
        <v>452</v>
      </c>
      <c r="R2" s="30">
        <v>0.09</v>
      </c>
    </row>
    <row r="3" spans="2:18" ht="51">
      <c r="B3" s="5"/>
      <c r="D3" s="265" t="s">
        <v>453</v>
      </c>
      <c r="E3" s="265" t="s">
        <v>454</v>
      </c>
      <c r="F3" s="265" t="s">
        <v>455</v>
      </c>
      <c r="G3" s="265" t="s">
        <v>456</v>
      </c>
      <c r="H3" s="265" t="s">
        <v>457</v>
      </c>
      <c r="J3" s="6"/>
      <c r="L3" s="5"/>
      <c r="N3" s="1" t="s">
        <v>458</v>
      </c>
      <c r="O3" s="104">
        <v>120187</v>
      </c>
    </row>
    <row r="4" spans="2:18" ht="35" thickBot="1">
      <c r="B4" s="5" t="s">
        <v>459</v>
      </c>
      <c r="C4" t="s">
        <v>460</v>
      </c>
      <c r="D4">
        <v>2030</v>
      </c>
      <c r="E4">
        <v>2030</v>
      </c>
      <c r="F4">
        <v>2030</v>
      </c>
      <c r="G4">
        <v>2030</v>
      </c>
      <c r="H4">
        <v>2030</v>
      </c>
      <c r="I4">
        <v>2030</v>
      </c>
      <c r="J4" s="6">
        <v>2030</v>
      </c>
      <c r="L4" s="2" t="s">
        <v>461</v>
      </c>
      <c r="M4" s="3"/>
      <c r="N4" s="266" t="s">
        <v>462</v>
      </c>
      <c r="O4" s="4">
        <v>1.2E-2</v>
      </c>
    </row>
    <row r="5" spans="2:18" ht="35" thickBot="1">
      <c r="B5" s="5" t="s">
        <v>463</v>
      </c>
      <c r="F5">
        <v>0.36</v>
      </c>
      <c r="G5">
        <v>0.39</v>
      </c>
      <c r="H5">
        <v>0.92500000000000004</v>
      </c>
      <c r="I5">
        <v>0.36</v>
      </c>
      <c r="J5" s="6"/>
      <c r="L5" s="43"/>
      <c r="M5" s="21"/>
      <c r="N5" s="21" t="s">
        <v>464</v>
      </c>
      <c r="O5" s="30">
        <v>1199.67</v>
      </c>
    </row>
    <row r="6" spans="2:18" ht="17">
      <c r="B6" s="5" t="s">
        <v>465</v>
      </c>
      <c r="H6">
        <v>0.97</v>
      </c>
      <c r="I6">
        <v>0.95</v>
      </c>
      <c r="J6" s="6"/>
    </row>
    <row r="7" spans="2:18" ht="34">
      <c r="B7" s="5" t="s">
        <v>466</v>
      </c>
      <c r="D7">
        <v>1</v>
      </c>
      <c r="E7">
        <v>0.5</v>
      </c>
      <c r="F7">
        <v>7.5</v>
      </c>
      <c r="G7">
        <v>6.5</v>
      </c>
      <c r="H7">
        <v>1</v>
      </c>
      <c r="I7">
        <f>F7/2</f>
        <v>3.75</v>
      </c>
      <c r="J7" s="6"/>
      <c r="N7" s="322"/>
      <c r="O7" s="317"/>
      <c r="P7" s="321"/>
    </row>
    <row r="8" spans="2:18" ht="17">
      <c r="B8" s="5" t="s">
        <v>467</v>
      </c>
      <c r="D8">
        <v>28</v>
      </c>
      <c r="E8">
        <v>30</v>
      </c>
      <c r="F8">
        <v>25</v>
      </c>
      <c r="G8">
        <v>25</v>
      </c>
      <c r="H8">
        <v>22.5</v>
      </c>
      <c r="I8">
        <v>25</v>
      </c>
      <c r="J8" s="6"/>
    </row>
    <row r="9" spans="2:18" ht="17">
      <c r="B9" s="5" t="s">
        <v>468</v>
      </c>
      <c r="C9" t="s">
        <v>469</v>
      </c>
      <c r="D9">
        <f>($R$2*(1+$R$2)^D8) / ((1+$R$2)^D8 - 1)</f>
        <v>9.8852047302250778E-2</v>
      </c>
      <c r="E9">
        <f t="shared" ref="E9" si="0">($R$2*(1+$R$2)^E8) / ((1+$R$2)^E8 - 1)</f>
        <v>9.7336351390889794E-2</v>
      </c>
      <c r="F9">
        <f>($R$2*(1+$R$2)^F8) / ((1+$R$2)^F8 - 1)</f>
        <v>0.10180625051857181</v>
      </c>
      <c r="G9">
        <f t="shared" ref="G9" si="1">($R$2*(1+$R$2)^G8) / ((1+$R$2)^G8 - 1)</f>
        <v>0.10180625051857181</v>
      </c>
      <c r="H9">
        <f t="shared" ref="H9:I9" si="2">($R$2*(1+$R$2)^H8) / ((1+$R$2)^H8 - 1)</f>
        <v>0.10512151918884663</v>
      </c>
      <c r="I9">
        <f t="shared" si="2"/>
        <v>0.10180625051857181</v>
      </c>
      <c r="J9" s="6"/>
      <c r="P9" s="267"/>
    </row>
    <row r="10" spans="2:18" ht="51">
      <c r="B10" s="5" t="s">
        <v>470</v>
      </c>
      <c r="H10">
        <f>1.37*O3*H9</f>
        <v>17308.908836647377</v>
      </c>
      <c r="I10">
        <v>2120</v>
      </c>
      <c r="J10" s="6">
        <v>2120</v>
      </c>
    </row>
    <row r="11" spans="2:18" ht="51">
      <c r="B11" s="5" t="s">
        <v>471</v>
      </c>
      <c r="C11" t="s">
        <v>472</v>
      </c>
      <c r="D11">
        <f>3.9*O3*D9</f>
        <v>46334.850935550894</v>
      </c>
      <c r="E11">
        <f>6.24*O3*E9</f>
        <v>72999.039763209279</v>
      </c>
      <c r="F11">
        <f>9.14*O3*F9</f>
        <v>111835.10077603091</v>
      </c>
      <c r="G11">
        <f>8.25*O3*G9</f>
        <v>100945.24960637362</v>
      </c>
      <c r="H11">
        <f>3.87*O3*H9</f>
        <v>48894.508903522154</v>
      </c>
      <c r="I11" s="342">
        <f>F11</f>
        <v>111835.10077603091</v>
      </c>
      <c r="J11" s="405">
        <f>3574+248</f>
        <v>3822</v>
      </c>
      <c r="L11">
        <f>5.5*O3*D9</f>
        <v>65344.02055013588</v>
      </c>
      <c r="M11">
        <f>9.1*O3*H9</f>
        <v>114971.58424342418</v>
      </c>
    </row>
    <row r="12" spans="2:18" ht="34">
      <c r="B12" s="5" t="s">
        <v>473</v>
      </c>
      <c r="D12">
        <f>0.022*O3</f>
        <v>2644.114</v>
      </c>
      <c r="E12">
        <f>0.064*O3</f>
        <v>7691.9679999999998</v>
      </c>
      <c r="F12">
        <f>0.26*O3</f>
        <v>31248.620000000003</v>
      </c>
      <c r="G12">
        <f>0.2*O3</f>
        <v>24037.4</v>
      </c>
      <c r="H12">
        <f>0.05*O3</f>
        <v>6009.35</v>
      </c>
      <c r="I12">
        <f>F12</f>
        <v>31248.620000000003</v>
      </c>
      <c r="J12" s="6">
        <f>I12</f>
        <v>31248.620000000003</v>
      </c>
    </row>
    <row r="13" spans="2:18" ht="34">
      <c r="B13" s="5" t="s">
        <v>474</v>
      </c>
      <c r="E13">
        <f>225*O4</f>
        <v>2.7</v>
      </c>
      <c r="F13" s="342"/>
      <c r="H13">
        <f>500000*O4</f>
        <v>6000</v>
      </c>
      <c r="J13" s="6"/>
    </row>
    <row r="14" spans="2:18" ht="34">
      <c r="B14" s="5" t="s">
        <v>475</v>
      </c>
      <c r="J14" s="6"/>
    </row>
    <row r="15" spans="2:18" ht="34">
      <c r="B15" s="5" t="s">
        <v>476</v>
      </c>
      <c r="J15" s="6"/>
    </row>
    <row r="16" spans="2:18" ht="34">
      <c r="B16" s="5" t="s">
        <v>477</v>
      </c>
      <c r="F16">
        <v>1</v>
      </c>
      <c r="I16">
        <v>1</v>
      </c>
      <c r="J16" s="6">
        <v>1</v>
      </c>
    </row>
    <row r="17" spans="2:10" ht="34">
      <c r="B17" s="5" t="s">
        <v>478</v>
      </c>
      <c r="F17">
        <v>55</v>
      </c>
      <c r="H17">
        <v>0</v>
      </c>
      <c r="I17">
        <v>55</v>
      </c>
      <c r="J17" s="6">
        <v>55</v>
      </c>
    </row>
    <row r="18" spans="2:10" ht="85">
      <c r="B18" s="5" t="s">
        <v>479</v>
      </c>
      <c r="C18" t="s">
        <v>1098</v>
      </c>
      <c r="F18">
        <f>25000*O3</f>
        <v>3004675000</v>
      </c>
      <c r="J18" s="6"/>
    </row>
    <row r="19" spans="2:10" ht="51">
      <c r="B19" s="5" t="s">
        <v>480</v>
      </c>
      <c r="F19">
        <f>30000*O3</f>
        <v>3605610000</v>
      </c>
      <c r="J19" s="6"/>
    </row>
    <row r="20" spans="2:10" ht="35" thickBot="1">
      <c r="B20" s="2" t="s">
        <v>481</v>
      </c>
      <c r="C20" s="3"/>
      <c r="D20" s="3"/>
      <c r="E20" s="3"/>
      <c r="F20" s="3">
        <f>52000*O3</f>
        <v>6249724000</v>
      </c>
      <c r="G20" s="3"/>
      <c r="H20" s="3"/>
      <c r="I20" s="3"/>
      <c r="J2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6119-6D1A-C04D-A2DD-8BE599AE71AD}">
  <dimension ref="B1:X51"/>
  <sheetViews>
    <sheetView zoomScale="108" workbookViewId="0">
      <selection activeCell="C19" sqref="C19"/>
    </sheetView>
  </sheetViews>
  <sheetFormatPr baseColWidth="10" defaultColWidth="11" defaultRowHeight="16"/>
  <cols>
    <col min="2" max="2" width="23.5" customWidth="1"/>
    <col min="3" max="3" width="28.83203125" customWidth="1"/>
    <col min="4" max="4" width="12.33203125" bestFit="1" customWidth="1"/>
    <col min="6" max="6" width="43.6640625" customWidth="1"/>
    <col min="7" max="7" width="21.1640625" customWidth="1"/>
    <col min="8" max="8" width="18" customWidth="1"/>
    <col min="10" max="11" width="12.33203125" bestFit="1" customWidth="1"/>
    <col min="12" max="13" width="11.1640625" bestFit="1" customWidth="1"/>
    <col min="14" max="15" width="12" bestFit="1" customWidth="1"/>
    <col min="16" max="17" width="12.33203125" bestFit="1" customWidth="1"/>
    <col min="18" max="18" width="11.6640625" bestFit="1" customWidth="1"/>
    <col min="19" max="19" width="11" bestFit="1" customWidth="1"/>
    <col min="21" max="22" width="12.33203125" bestFit="1" customWidth="1"/>
    <col min="24" max="24" width="12.33203125" bestFit="1" customWidth="1"/>
  </cols>
  <sheetData>
    <row r="1" spans="2:17" ht="17" thickBot="1"/>
    <row r="2" spans="2:17" ht="52" thickBot="1">
      <c r="B2" s="10" t="s">
        <v>277</v>
      </c>
      <c r="C2" s="11" t="s">
        <v>1</v>
      </c>
      <c r="D2" s="11" t="s">
        <v>2</v>
      </c>
      <c r="E2" s="12" t="s">
        <v>3</v>
      </c>
      <c r="F2" s="12" t="s">
        <v>4</v>
      </c>
      <c r="G2" s="12" t="s">
        <v>5</v>
      </c>
      <c r="H2" s="77" t="s">
        <v>6</v>
      </c>
      <c r="J2" s="63" t="s">
        <v>482</v>
      </c>
      <c r="K2" s="63" t="s">
        <v>483</v>
      </c>
      <c r="L2" s="63" t="s">
        <v>484</v>
      </c>
      <c r="M2" s="65" t="s">
        <v>485</v>
      </c>
      <c r="N2" s="64" t="s">
        <v>486</v>
      </c>
      <c r="O2" s="64" t="s">
        <v>487</v>
      </c>
      <c r="P2" s="63" t="s">
        <v>488</v>
      </c>
      <c r="Q2" s="65" t="s">
        <v>489</v>
      </c>
    </row>
    <row r="3" spans="2:17" ht="22" thickBot="1">
      <c r="B3" s="281" t="s">
        <v>490</v>
      </c>
      <c r="C3" s="282"/>
      <c r="D3" s="282"/>
      <c r="E3" s="282"/>
      <c r="F3" s="282"/>
      <c r="G3" s="287"/>
      <c r="H3" s="283"/>
      <c r="J3" s="5">
        <f>N3*L3</f>
        <v>577300.04602616897</v>
      </c>
      <c r="K3" s="5">
        <f>M3*O3</f>
        <v>233007.18439568716</v>
      </c>
      <c r="L3" s="5">
        <v>300</v>
      </c>
      <c r="M3" s="41">
        <f>150</f>
        <v>150</v>
      </c>
      <c r="N3" s="32">
        <f>5512*(POWER(L3,-0.1845))</f>
        <v>1924.3334867538965</v>
      </c>
      <c r="O3" s="32">
        <f>14720*(POWER(M3,-0.4488))</f>
        <v>1553.381229304581</v>
      </c>
      <c r="P3" s="5">
        <f>N3/((1.03/(1.5*275*0.35)) * 15*9.81/0.75)</f>
        <v>1374.7891845555546</v>
      </c>
      <c r="Q3" s="6">
        <f>O3/((0.95*15*9.81 / (1.5*275))/0.75)</f>
        <v>3437.7904237788484</v>
      </c>
    </row>
    <row r="4" spans="2:17" ht="55" customHeight="1">
      <c r="B4" s="68"/>
      <c r="C4" s="58" t="s">
        <v>142</v>
      </c>
      <c r="D4" s="58">
        <f>1433.9/1000 * (C22/C21)</f>
        <v>2.1609989383215371</v>
      </c>
      <c r="E4" s="58" t="s">
        <v>491</v>
      </c>
      <c r="F4" s="58"/>
      <c r="G4" s="58" t="s">
        <v>145</v>
      </c>
      <c r="H4" s="69"/>
      <c r="J4" s="5">
        <f t="shared" ref="J4:J50" si="0">N4*L4</f>
        <v>608497.8053596213</v>
      </c>
      <c r="K4" s="5">
        <f t="shared" ref="K4:K50" si="1">M4*O4</f>
        <v>249649.81896791997</v>
      </c>
      <c r="L4" s="5">
        <f>L3+20</f>
        <v>320</v>
      </c>
      <c r="M4" s="6">
        <f>M3+20</f>
        <v>170</v>
      </c>
      <c r="N4" s="32">
        <f t="shared" ref="N4:N50" si="2">5512*(POWER(L4,-0.1845))</f>
        <v>1901.5556417488167</v>
      </c>
      <c r="O4" s="32">
        <f t="shared" ref="O4:O50" si="3">14720*(POWER(M4,-0.4488))</f>
        <v>1468.5283468701175</v>
      </c>
      <c r="P4" s="5">
        <f t="shared" ref="P4:P50" si="4">N4/((1.03/(1.5*275*0.35)) * 15*9.81/0.75)</f>
        <v>1358.5161553867433</v>
      </c>
      <c r="Q4" s="6">
        <f t="shared" ref="Q4:Q50" si="5">O4/((0.95*15*9.81 / (1.5*275))/0.75)</f>
        <v>3250.0023771872065</v>
      </c>
    </row>
    <row r="5" spans="2:17" ht="57" customHeight="1">
      <c r="B5" s="70"/>
      <c r="C5" s="60" t="s">
        <v>146</v>
      </c>
      <c r="D5" s="61">
        <f>(154729/1000)*C22/C21</f>
        <v>233.18864964610719</v>
      </c>
      <c r="E5" s="60" t="s">
        <v>83</v>
      </c>
      <c r="F5" s="60"/>
      <c r="G5" s="60" t="s">
        <v>145</v>
      </c>
      <c r="H5" s="71"/>
      <c r="J5" s="5">
        <f t="shared" si="0"/>
        <v>639337.628451242</v>
      </c>
      <c r="K5" s="5">
        <f t="shared" si="1"/>
        <v>265434.1485547531</v>
      </c>
      <c r="L5" s="5">
        <f t="shared" ref="L5:L50" si="6">L4+20</f>
        <v>340</v>
      </c>
      <c r="M5" s="6">
        <f t="shared" ref="M5:M50" si="7">M4+20</f>
        <v>190</v>
      </c>
      <c r="N5" s="32">
        <f t="shared" si="2"/>
        <v>1880.4047895624765</v>
      </c>
      <c r="O5" s="32">
        <f t="shared" si="3"/>
        <v>1397.0218344987006</v>
      </c>
      <c r="P5" s="5">
        <f t="shared" si="4"/>
        <v>1343.4054882232442</v>
      </c>
      <c r="Q5" s="6">
        <f t="shared" si="5"/>
        <v>3091.7512030190137</v>
      </c>
    </row>
    <row r="6" spans="2:17" ht="46" customHeight="1">
      <c r="B6" s="70"/>
      <c r="C6" s="60" t="s">
        <v>156</v>
      </c>
      <c r="D6" s="61">
        <f>(475.01/1000)*C22/C21</f>
        <v>0.71587705257836198</v>
      </c>
      <c r="E6" s="60" t="s">
        <v>491</v>
      </c>
      <c r="F6" s="60"/>
      <c r="G6" s="60" t="s">
        <v>145</v>
      </c>
      <c r="H6" s="71"/>
      <c r="J6" s="5">
        <f t="shared" si="0"/>
        <v>669844.34959523263</v>
      </c>
      <c r="K6" s="5">
        <f t="shared" si="1"/>
        <v>280488.51636015612</v>
      </c>
      <c r="L6" s="5">
        <f t="shared" si="6"/>
        <v>360</v>
      </c>
      <c r="M6" s="6">
        <f t="shared" si="7"/>
        <v>210</v>
      </c>
      <c r="N6" s="32">
        <f t="shared" si="2"/>
        <v>1860.6787488756461</v>
      </c>
      <c r="O6" s="32">
        <f t="shared" si="3"/>
        <v>1335.6596017150291</v>
      </c>
      <c r="P6" s="5">
        <f t="shared" si="4"/>
        <v>1329.3127399667537</v>
      </c>
      <c r="Q6" s="6">
        <f t="shared" si="5"/>
        <v>2955.9503498441409</v>
      </c>
    </row>
    <row r="7" spans="2:17" ht="18" thickBot="1">
      <c r="B7" s="54"/>
      <c r="C7" s="72" t="s">
        <v>157</v>
      </c>
      <c r="D7" s="55">
        <f>(200566/1000)*C22/C21</f>
        <v>302.26857735085946</v>
      </c>
      <c r="E7" s="72" t="s">
        <v>83</v>
      </c>
      <c r="F7" s="55"/>
      <c r="G7" s="72" t="s">
        <v>145</v>
      </c>
      <c r="H7" s="56"/>
      <c r="J7" s="5">
        <f t="shared" si="0"/>
        <v>700039.79981442902</v>
      </c>
      <c r="K7" s="5">
        <f t="shared" si="1"/>
        <v>294911.82943059667</v>
      </c>
      <c r="L7" s="5">
        <f t="shared" si="6"/>
        <v>380</v>
      </c>
      <c r="M7" s="6">
        <f t="shared" si="7"/>
        <v>230</v>
      </c>
      <c r="N7" s="32">
        <f t="shared" si="2"/>
        <v>1842.2099995116553</v>
      </c>
      <c r="O7" s="32">
        <f t="shared" si="3"/>
        <v>1282.2253453504204</v>
      </c>
      <c r="P7" s="5">
        <f t="shared" si="4"/>
        <v>1316.1182302559071</v>
      </c>
      <c r="Q7" s="104">
        <f t="shared" si="5"/>
        <v>2837.6949136597905</v>
      </c>
    </row>
    <row r="8" spans="2:17">
      <c r="H8" s="6"/>
      <c r="J8" s="5">
        <f t="shared" si="0"/>
        <v>729943.30874831427</v>
      </c>
      <c r="K8" s="5">
        <f t="shared" si="1"/>
        <v>308782.26089933398</v>
      </c>
      <c r="L8" s="5">
        <f t="shared" si="6"/>
        <v>400</v>
      </c>
      <c r="M8" s="6">
        <f t="shared" si="7"/>
        <v>250</v>
      </c>
      <c r="N8" s="32">
        <f t="shared" si="2"/>
        <v>1824.8582718707858</v>
      </c>
      <c r="O8" s="32">
        <f t="shared" si="3"/>
        <v>1235.129043597336</v>
      </c>
      <c r="P8" s="5">
        <f t="shared" si="4"/>
        <v>1303.7217471835986</v>
      </c>
      <c r="Q8" s="6">
        <f t="shared" si="5"/>
        <v>2733.466014721289</v>
      </c>
    </row>
    <row r="9" spans="2:17" ht="17" thickBot="1">
      <c r="H9" s="6"/>
      <c r="J9" s="5">
        <f t="shared" si="0"/>
        <v>759572.1017867683</v>
      </c>
      <c r="K9" s="5">
        <f t="shared" si="1"/>
        <v>322162.89318937459</v>
      </c>
      <c r="L9" s="5">
        <f t="shared" si="6"/>
        <v>420</v>
      </c>
      <c r="M9" s="6">
        <f t="shared" si="7"/>
        <v>270</v>
      </c>
      <c r="N9" s="32">
        <f t="shared" si="2"/>
        <v>1808.5050042542102</v>
      </c>
      <c r="O9" s="32">
        <f t="shared" si="3"/>
        <v>1193.1959007013875</v>
      </c>
      <c r="P9" s="5">
        <f t="shared" si="4"/>
        <v>1292.0385874786061</v>
      </c>
      <c r="Q9" s="6">
        <f t="shared" si="5"/>
        <v>2640.663710710458</v>
      </c>
    </row>
    <row r="10" spans="2:17" ht="34" customHeight="1">
      <c r="B10" s="288" t="s">
        <v>492</v>
      </c>
      <c r="C10" s="289"/>
      <c r="D10" s="289"/>
      <c r="E10" s="289"/>
      <c r="F10" s="289"/>
      <c r="G10" s="289"/>
      <c r="H10" s="290"/>
      <c r="J10" s="5">
        <f t="shared" si="0"/>
        <v>788941.61826076161</v>
      </c>
      <c r="K10" s="5">
        <f t="shared" si="1"/>
        <v>335105.5236008038</v>
      </c>
      <c r="L10" s="5">
        <f t="shared" si="6"/>
        <v>440</v>
      </c>
      <c r="M10" s="6">
        <f t="shared" si="7"/>
        <v>290</v>
      </c>
      <c r="N10" s="32">
        <f t="shared" si="2"/>
        <v>1793.0491324108218</v>
      </c>
      <c r="O10" s="32">
        <f t="shared" si="3"/>
        <v>1155.5362882786337</v>
      </c>
      <c r="P10" s="5">
        <f t="shared" si="4"/>
        <v>1280.9965484586385</v>
      </c>
      <c r="Q10" s="6">
        <f t="shared" si="5"/>
        <v>2557.3191636618722</v>
      </c>
    </row>
    <row r="11" spans="2:17" ht="17">
      <c r="B11" s="5"/>
      <c r="C11" t="s">
        <v>493</v>
      </c>
      <c r="D11">
        <v>3.3</v>
      </c>
      <c r="E11" t="s">
        <v>494</v>
      </c>
      <c r="F11" t="s">
        <v>495</v>
      </c>
      <c r="G11" t="s">
        <v>161</v>
      </c>
      <c r="H11" s="6" t="s">
        <v>496</v>
      </c>
      <c r="J11" s="5">
        <f t="shared" si="0"/>
        <v>818065.76925663231</v>
      </c>
      <c r="K11" s="5">
        <f t="shared" si="1"/>
        <v>347653.31559774588</v>
      </c>
      <c r="L11" s="5">
        <f t="shared" si="6"/>
        <v>460</v>
      </c>
      <c r="M11" s="6">
        <f t="shared" si="7"/>
        <v>310</v>
      </c>
      <c r="N11" s="32">
        <f t="shared" si="2"/>
        <v>1778.4038462100702</v>
      </c>
      <c r="O11" s="32">
        <f t="shared" si="3"/>
        <v>1121.4623083798253</v>
      </c>
      <c r="P11" s="5">
        <f t="shared" si="4"/>
        <v>1270.5336109209886</v>
      </c>
      <c r="Q11" s="6">
        <f t="shared" si="5"/>
        <v>2481.9099855500717</v>
      </c>
    </row>
    <row r="12" spans="2:17" ht="17">
      <c r="B12" s="5"/>
      <c r="C12" t="s">
        <v>497</v>
      </c>
      <c r="D12">
        <v>0.55000000000000004</v>
      </c>
      <c r="E12" t="s">
        <v>174</v>
      </c>
      <c r="F12" t="s">
        <v>498</v>
      </c>
      <c r="G12" t="s">
        <v>161</v>
      </c>
      <c r="H12" s="6" t="s">
        <v>496</v>
      </c>
      <c r="J12" s="5">
        <f t="shared" si="0"/>
        <v>846957.1486362617</v>
      </c>
      <c r="K12" s="5">
        <f t="shared" si="1"/>
        <v>359842.69745292596</v>
      </c>
      <c r="L12" s="5">
        <f t="shared" si="6"/>
        <v>480</v>
      </c>
      <c r="M12" s="6">
        <f t="shared" si="7"/>
        <v>330</v>
      </c>
      <c r="N12" s="32">
        <f t="shared" si="2"/>
        <v>1764.4940596588785</v>
      </c>
      <c r="O12" s="32">
        <f t="shared" si="3"/>
        <v>1090.432416524018</v>
      </c>
      <c r="P12" s="5">
        <f t="shared" si="4"/>
        <v>1260.5961316630078</v>
      </c>
      <c r="Q12" s="6">
        <f t="shared" si="5"/>
        <v>2413.2376834387969</v>
      </c>
    </row>
    <row r="13" spans="2:17" ht="52" customHeight="1" thickBot="1">
      <c r="B13" s="54"/>
      <c r="C13" s="55" t="s">
        <v>499</v>
      </c>
      <c r="D13" s="55">
        <f>D11*D12</f>
        <v>1.8149999999999999</v>
      </c>
      <c r="E13" s="55" t="s">
        <v>500</v>
      </c>
      <c r="F13" s="55" t="s">
        <v>501</v>
      </c>
      <c r="G13" s="55" t="s">
        <v>161</v>
      </c>
      <c r="H13" s="56"/>
      <c r="J13" s="5">
        <f t="shared" si="0"/>
        <v>875627.20735129493</v>
      </c>
      <c r="K13" s="5">
        <f t="shared" si="1"/>
        <v>371704.75435173739</v>
      </c>
      <c r="L13" s="5">
        <f t="shared" si="6"/>
        <v>500</v>
      </c>
      <c r="M13" s="6">
        <f t="shared" si="7"/>
        <v>350</v>
      </c>
      <c r="N13" s="32">
        <f t="shared" si="2"/>
        <v>1751.2544147025899</v>
      </c>
      <c r="O13" s="32">
        <f t="shared" si="3"/>
        <v>1062.0135838621068</v>
      </c>
      <c r="P13" s="5">
        <f t="shared" si="4"/>
        <v>1251.1374173504666</v>
      </c>
      <c r="Q13" s="6">
        <f t="shared" si="5"/>
        <v>2350.3439205060304</v>
      </c>
    </row>
    <row r="14" spans="2:17" ht="17" thickBot="1">
      <c r="J14" s="5">
        <f t="shared" si="0"/>
        <v>904086.39864817448</v>
      </c>
      <c r="K14" s="5">
        <f t="shared" si="1"/>
        <v>383266.27017270058</v>
      </c>
      <c r="L14" s="5">
        <f t="shared" si="6"/>
        <v>520</v>
      </c>
      <c r="M14" s="6">
        <f t="shared" si="7"/>
        <v>370</v>
      </c>
      <c r="N14" s="32">
        <f t="shared" si="2"/>
        <v>1738.6276897080279</v>
      </c>
      <c r="O14" s="32">
        <f t="shared" si="3"/>
        <v>1035.854784250542</v>
      </c>
      <c r="P14" s="5">
        <f t="shared" si="4"/>
        <v>1242.1165875003539</v>
      </c>
      <c r="Q14" s="6">
        <f t="shared" si="5"/>
        <v>2292.4518402454451</v>
      </c>
    </row>
    <row r="15" spans="2:17" ht="17">
      <c r="B15" s="39"/>
      <c r="C15" s="40"/>
      <c r="D15" s="41" t="s">
        <v>502</v>
      </c>
      <c r="J15" s="5">
        <f t="shared" si="0"/>
        <v>932344.29995683942</v>
      </c>
      <c r="K15" s="5">
        <f t="shared" si="1"/>
        <v>394550.52117669454</v>
      </c>
      <c r="L15" s="5">
        <f t="shared" si="6"/>
        <v>540</v>
      </c>
      <c r="M15" s="6">
        <f t="shared" si="7"/>
        <v>390</v>
      </c>
      <c r="N15" s="32">
        <f t="shared" si="2"/>
        <v>1726.5635184385915</v>
      </c>
      <c r="O15" s="32">
        <f>14720*(POWER(M15,-0.4488))</f>
        <v>1011.6680030171655</v>
      </c>
      <c r="P15" s="5">
        <f t="shared" si="4"/>
        <v>1233.4976592865</v>
      </c>
      <c r="Q15" s="6">
        <f t="shared" si="5"/>
        <v>2238.9240369364275</v>
      </c>
    </row>
    <row r="16" spans="2:17" ht="17">
      <c r="B16" s="5">
        <v>1803</v>
      </c>
      <c r="C16" s="346" t="s">
        <v>503</v>
      </c>
      <c r="D16" s="6"/>
      <c r="J16" s="5">
        <f t="shared" si="0"/>
        <v>960409.71593134478</v>
      </c>
      <c r="K16" s="5">
        <f t="shared" si="1"/>
        <v>405577.89031214593</v>
      </c>
      <c r="L16" s="5">
        <f t="shared" si="6"/>
        <v>560</v>
      </c>
      <c r="M16" s="6">
        <f t="shared" si="7"/>
        <v>410</v>
      </c>
      <c r="N16" s="32">
        <f t="shared" si="2"/>
        <v>1715.0173498774013</v>
      </c>
      <c r="O16" s="32">
        <f t="shared" si="3"/>
        <v>989.21436661499001</v>
      </c>
      <c r="P16" s="5">
        <f t="shared" si="4"/>
        <v>1225.2488044127244</v>
      </c>
      <c r="Q16" s="104">
        <f t="shared" si="5"/>
        <v>2189.2318591592002</v>
      </c>
    </row>
    <row r="17" spans="2:24" ht="17">
      <c r="B17" s="5">
        <v>760</v>
      </c>
      <c r="C17" s="346" t="s">
        <v>504</v>
      </c>
      <c r="D17" s="29" t="s">
        <v>1148</v>
      </c>
      <c r="J17" s="5">
        <f t="shared" si="0"/>
        <v>988290.76612543804</v>
      </c>
      <c r="K17" s="5">
        <f t="shared" si="1"/>
        <v>416366.34940604068</v>
      </c>
      <c r="L17" s="5">
        <f t="shared" si="6"/>
        <v>580</v>
      </c>
      <c r="M17" s="6">
        <f t="shared" si="7"/>
        <v>430</v>
      </c>
      <c r="N17" s="32">
        <f t="shared" si="2"/>
        <v>1703.9495967679966</v>
      </c>
      <c r="O17" s="32">
        <f t="shared" si="3"/>
        <v>968.29383582800153</v>
      </c>
      <c r="P17" s="5">
        <f t="shared" si="4"/>
        <v>1217.3417408102466</v>
      </c>
      <c r="Q17" s="104">
        <f t="shared" si="5"/>
        <v>2142.9325998124932</v>
      </c>
    </row>
    <row r="18" spans="2:24" ht="35" thickBot="1">
      <c r="B18" s="406">
        <f>B17*B16 /(60*60)</f>
        <v>380.63333333333333</v>
      </c>
      <c r="C18" s="55" t="s">
        <v>1149</v>
      </c>
      <c r="D18" s="4"/>
      <c r="J18" s="5">
        <f t="shared" si="0"/>
        <v>1015994.9600446256</v>
      </c>
      <c r="K18" s="5">
        <f t="shared" si="1"/>
        <v>426931.8424446276</v>
      </c>
      <c r="L18" s="5">
        <f t="shared" si="6"/>
        <v>600</v>
      </c>
      <c r="M18" s="6">
        <f t="shared" si="7"/>
        <v>450</v>
      </c>
      <c r="N18" s="32">
        <f t="shared" si="2"/>
        <v>1693.3249334077093</v>
      </c>
      <c r="O18" s="32">
        <f t="shared" si="3"/>
        <v>948.73742765472798</v>
      </c>
      <c r="P18" s="5">
        <f t="shared" si="4"/>
        <v>1209.7512309647279</v>
      </c>
      <c r="Q18" s="6">
        <f t="shared" si="5"/>
        <v>2099.6522823519249</v>
      </c>
    </row>
    <row r="19" spans="2:24">
      <c r="J19" s="5">
        <f t="shared" si="0"/>
        <v>1043529.261752062</v>
      </c>
      <c r="K19" s="5">
        <f t="shared" si="1"/>
        <v>437288.59370422637</v>
      </c>
      <c r="L19" s="5">
        <f t="shared" si="6"/>
        <v>620</v>
      </c>
      <c r="M19" s="6">
        <f t="shared" si="7"/>
        <v>470</v>
      </c>
      <c r="N19" s="32">
        <f t="shared" si="2"/>
        <v>1683.1117125033259</v>
      </c>
      <c r="O19" s="32">
        <f t="shared" si="3"/>
        <v>930.40126320048159</v>
      </c>
      <c r="P19" s="5">
        <f t="shared" si="4"/>
        <v>1202.4546653042153</v>
      </c>
      <c r="Q19" s="6">
        <f t="shared" si="5"/>
        <v>2059.0724881710316</v>
      </c>
    </row>
    <row r="20" spans="2:24" ht="17" thickBot="1">
      <c r="J20" s="5">
        <f t="shared" si="0"/>
        <v>1070900.1457719724</v>
      </c>
      <c r="K20" s="5">
        <f t="shared" si="1"/>
        <v>447449.35802101763</v>
      </c>
      <c r="L20" s="5">
        <f t="shared" si="6"/>
        <v>640</v>
      </c>
      <c r="M20" s="6">
        <f t="shared" si="7"/>
        <v>490</v>
      </c>
      <c r="N20" s="32">
        <f t="shared" si="2"/>
        <v>1673.281477768707</v>
      </c>
      <c r="O20" s="32">
        <f t="shared" si="3"/>
        <v>913.16195514493393</v>
      </c>
      <c r="P20" s="5">
        <f t="shared" si="4"/>
        <v>1195.4317139873967</v>
      </c>
      <c r="Q20" s="6">
        <f>O20/((0.95*15*9.81 / (1.5*275))/0.75)</f>
        <v>2020.9201485985579</v>
      </c>
    </row>
    <row r="21" spans="2:24" ht="17">
      <c r="B21" s="39" t="s">
        <v>506</v>
      </c>
      <c r="C21" s="40">
        <v>395.6</v>
      </c>
      <c r="D21" s="41" t="s">
        <v>328</v>
      </c>
      <c r="J21" s="5">
        <f t="shared" si="0"/>
        <v>1098113.6456978801</v>
      </c>
      <c r="K21" s="5">
        <f t="shared" si="1"/>
        <v>457425.62597101904</v>
      </c>
      <c r="L21" s="5">
        <f t="shared" si="6"/>
        <v>660</v>
      </c>
      <c r="M21" s="6">
        <f>M20+20</f>
        <v>510</v>
      </c>
      <c r="N21" s="32">
        <f t="shared" si="2"/>
        <v>1663.8085540876971</v>
      </c>
      <c r="O21" s="32">
        <f t="shared" si="3"/>
        <v>896.91299210003729</v>
      </c>
      <c r="P21" s="5">
        <f t="shared" si="4"/>
        <v>1188.6640341063273</v>
      </c>
      <c r="Q21" s="6">
        <f t="shared" si="5"/>
        <v>1984.9595431153245</v>
      </c>
    </row>
    <row r="22" spans="2:24" ht="18" thickBot="1">
      <c r="B22" s="2" t="s">
        <v>331</v>
      </c>
      <c r="C22" s="3">
        <v>596.20000000000005</v>
      </c>
      <c r="D22" s="4" t="s">
        <v>328</v>
      </c>
      <c r="J22" s="5">
        <f t="shared" si="0"/>
        <v>1125175.3966496321</v>
      </c>
      <c r="K22" s="5">
        <f t="shared" si="1"/>
        <v>467227.79352448497</v>
      </c>
      <c r="L22" s="5">
        <f t="shared" si="6"/>
        <v>680</v>
      </c>
      <c r="M22" s="6">
        <f t="shared" si="7"/>
        <v>530</v>
      </c>
      <c r="N22" s="32">
        <f t="shared" si="2"/>
        <v>1654.6697009553413</v>
      </c>
      <c r="O22" s="32">
        <f t="shared" si="3"/>
        <v>881.56187457449994</v>
      </c>
      <c r="P22" s="5">
        <f t="shared" si="4"/>
        <v>1182.1350220966688</v>
      </c>
      <c r="Q22" s="6">
        <f t="shared" si="5"/>
        <v>1950.9859609527398</v>
      </c>
    </row>
    <row r="23" spans="2:24" ht="17" thickBot="1">
      <c r="J23" s="5">
        <f t="shared" si="0"/>
        <v>1152090.6725154712</v>
      </c>
      <c r="K23" s="5">
        <f t="shared" si="1"/>
        <v>476865.30342746858</v>
      </c>
      <c r="L23" s="5">
        <f t="shared" si="6"/>
        <v>700</v>
      </c>
      <c r="M23">
        <f t="shared" si="7"/>
        <v>550</v>
      </c>
      <c r="N23" s="107">
        <f t="shared" si="2"/>
        <v>1645.8438178792446</v>
      </c>
      <c r="O23" s="66">
        <f t="shared" si="3"/>
        <v>867.0278244135792</v>
      </c>
      <c r="P23">
        <f t="shared" si="4"/>
        <v>1175.8296032694791</v>
      </c>
      <c r="Q23" s="6">
        <f t="shared" si="5"/>
        <v>1918.8206318504285</v>
      </c>
    </row>
    <row r="24" spans="2:24" ht="16" customHeight="1" thickBot="1">
      <c r="J24" s="5">
        <f t="shared" si="0"/>
        <v>1178864.4187502398</v>
      </c>
      <c r="K24" s="5">
        <f t="shared" si="1"/>
        <v>486346.76387385785</v>
      </c>
      <c r="L24" s="5">
        <f t="shared" si="6"/>
        <v>720</v>
      </c>
      <c r="M24">
        <f t="shared" si="7"/>
        <v>570</v>
      </c>
      <c r="N24" s="107">
        <f t="shared" si="2"/>
        <v>1637.3116927086664</v>
      </c>
      <c r="O24" s="66">
        <f t="shared" si="3"/>
        <v>853.23993662080329</v>
      </c>
      <c r="P24" s="5">
        <f t="shared" si="4"/>
        <v>1169.7340520115877</v>
      </c>
      <c r="Q24" s="6">
        <f t="shared" si="5"/>
        <v>1888.3066358499991</v>
      </c>
      <c r="U24" s="291" t="s">
        <v>507</v>
      </c>
      <c r="V24" s="292"/>
      <c r="W24" s="292"/>
      <c r="X24" s="293"/>
    </row>
    <row r="25" spans="2:24" ht="17">
      <c r="J25" s="5">
        <f t="shared" si="0"/>
        <v>1205501.2813685539</v>
      </c>
      <c r="K25" s="5">
        <f t="shared" si="1"/>
        <v>495680.04878055374</v>
      </c>
      <c r="L25" s="5">
        <f t="shared" si="6"/>
        <v>740</v>
      </c>
      <c r="M25">
        <f t="shared" si="7"/>
        <v>590</v>
      </c>
      <c r="N25" s="107">
        <f t="shared" si="2"/>
        <v>1629.0557856331809</v>
      </c>
      <c r="O25" s="66">
        <f t="shared" si="3"/>
        <v>840.13567589924367</v>
      </c>
      <c r="P25" s="5">
        <f t="shared" si="4"/>
        <v>1163.8358374691493</v>
      </c>
      <c r="Q25" s="6">
        <f t="shared" si="5"/>
        <v>1859.3055759881859</v>
      </c>
      <c r="U25" s="109" t="s">
        <v>508</v>
      </c>
      <c r="V25" s="40">
        <v>510</v>
      </c>
      <c r="W25" s="40" t="s">
        <v>59</v>
      </c>
      <c r="X25" s="41">
        <v>930</v>
      </c>
    </row>
    <row r="26" spans="2:24" ht="17">
      <c r="J26" s="5">
        <f t="shared" si="0"/>
        <v>1232005.6326651808</v>
      </c>
      <c r="K26" s="5">
        <f t="shared" si="1"/>
        <v>504872.38304164552</v>
      </c>
      <c r="L26" s="5">
        <f t="shared" si="6"/>
        <v>760</v>
      </c>
      <c r="M26">
        <f t="shared" si="7"/>
        <v>610</v>
      </c>
      <c r="N26" s="107">
        <f t="shared" si="2"/>
        <v>1621.0600429805011</v>
      </c>
      <c r="O26" s="66">
        <f t="shared" si="3"/>
        <v>827.65964433056638</v>
      </c>
      <c r="P26" s="5">
        <f t="shared" si="4"/>
        <v>1158.1234905204212</v>
      </c>
      <c r="Q26" s="6">
        <f t="shared" si="5"/>
        <v>1831.6948510454347</v>
      </c>
      <c r="U26" s="110" t="s">
        <v>509</v>
      </c>
      <c r="V26" s="100">
        <f>V25*1.03*15*9.81/(1.5*275*0.75*0.35)</f>
        <v>713.86223376623389</v>
      </c>
      <c r="W26" t="s">
        <v>510</v>
      </c>
      <c r="X26" s="6">
        <f>X25*1.03*15*9.81/(1.5*275*0.75*0.4)</f>
        <v>1139.030181818182</v>
      </c>
    </row>
    <row r="27" spans="2:24" ht="34">
      <c r="J27" s="5">
        <f t="shared" si="0"/>
        <v>1258381.5941083692</v>
      </c>
      <c r="K27" s="5">
        <f>M27*O27</f>
        <v>513930.41542807472</v>
      </c>
      <c r="L27" s="5">
        <f t="shared" si="6"/>
        <v>780</v>
      </c>
      <c r="M27">
        <f t="shared" si="7"/>
        <v>630</v>
      </c>
      <c r="N27" s="107">
        <f t="shared" si="2"/>
        <v>1613.3097360363709</v>
      </c>
      <c r="O27" s="66">
        <f t="shared" si="3"/>
        <v>815.76256417154718</v>
      </c>
      <c r="P27" s="5">
        <f t="shared" si="4"/>
        <v>1152.5864886248976</v>
      </c>
      <c r="Q27" s="6">
        <f t="shared" si="5"/>
        <v>1805.3654043712816</v>
      </c>
      <c r="U27" s="110" t="s">
        <v>511</v>
      </c>
      <c r="V27" s="100">
        <f>V25*0.95 *15*9.81/0.75/(1.5*275)</f>
        <v>230.4458181818182</v>
      </c>
      <c r="W27" t="s">
        <v>510</v>
      </c>
      <c r="X27" s="6">
        <f>X25*0.95 *15*9.81/0.75/(1.5*275)</f>
        <v>420.22472727272731</v>
      </c>
    </row>
    <row r="28" spans="2:24" ht="17" thickBot="1">
      <c r="J28" s="5">
        <f t="shared" si="0"/>
        <v>1284633.0567813048</v>
      </c>
      <c r="K28" s="5">
        <f t="shared" si="1"/>
        <v>522860.28125665535</v>
      </c>
      <c r="L28" s="5">
        <f t="shared" si="6"/>
        <v>800</v>
      </c>
      <c r="M28">
        <f t="shared" si="7"/>
        <v>650</v>
      </c>
      <c r="N28" s="107">
        <f t="shared" si="2"/>
        <v>1605.7913209766309</v>
      </c>
      <c r="O28" s="66">
        <f t="shared" si="3"/>
        <v>804.40043270254671</v>
      </c>
      <c r="P28" s="5">
        <f t="shared" si="4"/>
        <v>1147.2151557554757</v>
      </c>
      <c r="Q28" s="6">
        <f t="shared" si="5"/>
        <v>1780.2198534781935</v>
      </c>
      <c r="U28" s="54">
        <f>AVERAGE(P3:P23)</f>
        <v>1259.6969953896264</v>
      </c>
      <c r="V28" s="55">
        <f>AVERAGE(Q3:Q23)</f>
        <v>2459.4324351081473</v>
      </c>
      <c r="W28" s="3"/>
      <c r="X28" s="4"/>
    </row>
    <row r="29" spans="2:24">
      <c r="J29" s="5">
        <f t="shared" si="0"/>
        <v>1310763.6996889561</v>
      </c>
      <c r="K29" s="5">
        <f t="shared" si="1"/>
        <v>531667.65653336782</v>
      </c>
      <c r="L29" s="5">
        <f t="shared" si="6"/>
        <v>820</v>
      </c>
      <c r="M29">
        <f t="shared" si="7"/>
        <v>670</v>
      </c>
      <c r="N29" s="107">
        <f t="shared" si="2"/>
        <v>1598.492316693849</v>
      </c>
      <c r="O29" s="66">
        <f t="shared" si="3"/>
        <v>793.53381572144451</v>
      </c>
      <c r="P29" s="5">
        <f t="shared" si="4"/>
        <v>1142.0005751149235</v>
      </c>
      <c r="Q29" s="6">
        <f t="shared" si="5"/>
        <v>1756.1709264718913</v>
      </c>
    </row>
    <row r="30" spans="2:24">
      <c r="J30" s="5">
        <f t="shared" si="0"/>
        <v>1336777.0061997843</v>
      </c>
      <c r="K30" s="5">
        <f t="shared" si="1"/>
        <v>540357.80494951492</v>
      </c>
      <c r="L30" s="5">
        <f t="shared" si="6"/>
        <v>840</v>
      </c>
      <c r="M30">
        <f t="shared" si="7"/>
        <v>690</v>
      </c>
      <c r="N30" s="107">
        <f t="shared" si="2"/>
        <v>1591.4011978568863</v>
      </c>
      <c r="O30" s="66">
        <f t="shared" si="3"/>
        <v>783.12725355002169</v>
      </c>
      <c r="P30" s="5">
        <f t="shared" si="4"/>
        <v>1136.9345127351125</v>
      </c>
      <c r="Q30" s="6">
        <f t="shared" si="5"/>
        <v>1733.1401474831478</v>
      </c>
    </row>
    <row r="31" spans="2:24">
      <c r="J31" s="5">
        <f>N31*L31</f>
        <v>1362676.2788521782</v>
      </c>
      <c r="K31" s="5">
        <f t="shared" si="1"/>
        <v>548935.61885308404</v>
      </c>
      <c r="L31" s="5">
        <f t="shared" si="6"/>
        <v>860</v>
      </c>
      <c r="M31">
        <f t="shared" si="7"/>
        <v>710</v>
      </c>
      <c r="N31" s="107">
        <f t="shared" si="2"/>
        <v>1584.5073009909049</v>
      </c>
      <c r="O31" s="66">
        <f t="shared" si="3"/>
        <v>773.14875894800571</v>
      </c>
      <c r="P31" s="5">
        <f t="shared" si="4"/>
        <v>1132.0093503783633</v>
      </c>
      <c r="Q31" s="6">
        <f t="shared" si="5"/>
        <v>1711.0567255005758</v>
      </c>
    </row>
    <row r="32" spans="2:24">
      <c r="J32" s="5">
        <f t="shared" si="0"/>
        <v>1388464.6527224598</v>
      </c>
      <c r="K32" s="5">
        <f t="shared" si="1"/>
        <v>557405.65511488752</v>
      </c>
      <c r="L32" s="5">
        <f t="shared" si="6"/>
        <v>880</v>
      </c>
      <c r="M32">
        <f t="shared" si="7"/>
        <v>730</v>
      </c>
      <c r="N32" s="107">
        <f t="shared" si="2"/>
        <v>1577.800741730068</v>
      </c>
      <c r="O32" s="66">
        <f t="shared" si="3"/>
        <v>763.56939056833903</v>
      </c>
      <c r="P32" s="5">
        <f t="shared" si="4"/>
        <v>1127.2180264208237</v>
      </c>
      <c r="Q32" s="6">
        <f t="shared" si="5"/>
        <v>1689.856610383818</v>
      </c>
    </row>
    <row r="33" spans="10:17">
      <c r="J33" s="5">
        <f t="shared" si="0"/>
        <v>1414145.107523686</v>
      </c>
      <c r="K33" s="5">
        <f t="shared" si="1"/>
        <v>565772.1666474524</v>
      </c>
      <c r="L33" s="5">
        <f t="shared" si="6"/>
        <v>900</v>
      </c>
      <c r="M33">
        <f t="shared" si="7"/>
        <v>750</v>
      </c>
      <c r="N33" s="107">
        <f t="shared" si="2"/>
        <v>1571.2723416929844</v>
      </c>
      <c r="O33" s="66">
        <f t="shared" si="3"/>
        <v>754.36288886326986</v>
      </c>
      <c r="P33" s="5">
        <f t="shared" si="4"/>
        <v>1122.553983610565</v>
      </c>
      <c r="Q33" s="6">
        <f t="shared" si="5"/>
        <v>1669.4816870867471</v>
      </c>
    </row>
    <row r="34" spans="10:17">
      <c r="J34" s="5">
        <f t="shared" si="0"/>
        <v>1439720.4785812402</v>
      </c>
      <c r="K34" s="5">
        <f t="shared" si="1"/>
        <v>574039.13020495709</v>
      </c>
      <c r="L34" s="5">
        <f t="shared" si="6"/>
        <v>920</v>
      </c>
      <c r="M34">
        <f t="shared" si="7"/>
        <v>770</v>
      </c>
      <c r="N34" s="107">
        <f t="shared" si="2"/>
        <v>1564.913563675261</v>
      </c>
      <c r="O34" s="66">
        <f t="shared" si="3"/>
        <v>745.50536390254172</v>
      </c>
      <c r="P34" s="5">
        <f t="shared" si="4"/>
        <v>1118.0111227676127</v>
      </c>
      <c r="Q34" s="6">
        <f t="shared" si="5"/>
        <v>1649.8790847674147</v>
      </c>
    </row>
    <row r="35" spans="10:17">
      <c r="J35" s="5">
        <f t="shared" si="0"/>
        <v>1465193.4668116195</v>
      </c>
      <c r="K35" s="5">
        <f t="shared" si="1"/>
        <v>582210.27098781941</v>
      </c>
      <c r="L35" s="5">
        <f t="shared" si="6"/>
        <v>940</v>
      </c>
      <c r="M35">
        <f t="shared" si="7"/>
        <v>790</v>
      </c>
      <c r="N35" s="107">
        <f t="shared" si="2"/>
        <v>1558.7164540549143</v>
      </c>
      <c r="O35" s="66">
        <f t="shared" si="3"/>
        <v>736.97502656686004</v>
      </c>
      <c r="P35" s="5">
        <f t="shared" si="4"/>
        <v>1113.5837616370172</v>
      </c>
      <c r="Q35" s="6">
        <f t="shared" si="5"/>
        <v>1631.0005818918919</v>
      </c>
    </row>
    <row r="36" spans="10:17">
      <c r="J36" s="5">
        <f t="shared" si="0"/>
        <v>1490566.6478141977</v>
      </c>
      <c r="K36" s="5">
        <f t="shared" si="1"/>
        <v>590289.08449046675</v>
      </c>
      <c r="L36" s="5">
        <f t="shared" si="6"/>
        <v>960</v>
      </c>
      <c r="M36">
        <f t="shared" si="7"/>
        <v>810</v>
      </c>
      <c r="N36" s="107">
        <f t="shared" si="2"/>
        <v>1552.6735914731225</v>
      </c>
      <c r="O36" s="66">
        <f t="shared" si="3"/>
        <v>728.7519561610701</v>
      </c>
      <c r="P36" s="5">
        <f t="shared" si="4"/>
        <v>1109.2665982251717</v>
      </c>
      <c r="Q36" s="6">
        <f t="shared" si="5"/>
        <v>1612.8020919386306</v>
      </c>
    </row>
    <row r="37" spans="10:17">
      <c r="J37" s="5">
        <f t="shared" si="0"/>
        <v>1515842.4801716367</v>
      </c>
      <c r="K37" s="5">
        <f t="shared" si="1"/>
        <v>598278.85596134735</v>
      </c>
      <c r="L37" s="5">
        <f t="shared" si="6"/>
        <v>980</v>
      </c>
      <c r="M37">
        <f t="shared" si="7"/>
        <v>830</v>
      </c>
      <c r="N37" s="107">
        <f t="shared" si="2"/>
        <v>1546.778040991466</v>
      </c>
      <c r="O37" s="66">
        <f t="shared" si="3"/>
        <v>720.81789874861124</v>
      </c>
      <c r="P37" s="5">
        <f t="shared" si="4"/>
        <v>1105.0546780486668</v>
      </c>
      <c r="Q37" s="6">
        <f t="shared" si="5"/>
        <v>1595.24321709213</v>
      </c>
    </row>
    <row r="38" spans="10:17">
      <c r="J38" s="5">
        <f t="shared" si="0"/>
        <v>1541023.3130425541</v>
      </c>
      <c r="K38" s="5">
        <f t="shared" si="1"/>
        <v>606182.6777871605</v>
      </c>
      <c r="L38" s="5">
        <f t="shared" si="6"/>
        <v>1000</v>
      </c>
      <c r="M38">
        <f t="shared" si="7"/>
        <v>850</v>
      </c>
      <c r="N38" s="107">
        <f t="shared" si="2"/>
        <v>1541.023313042554</v>
      </c>
      <c r="O38" s="66">
        <f t="shared" si="3"/>
        <v>713.15609151430647</v>
      </c>
      <c r="P38" s="5">
        <f t="shared" si="4"/>
        <v>1100.9433648076499</v>
      </c>
      <c r="Q38" s="6">
        <f t="shared" si="5"/>
        <v>1578.2868595399505</v>
      </c>
    </row>
    <row r="39" spans="10:17">
      <c r="J39" s="5">
        <f t="shared" si="0"/>
        <v>1566111.3931197168</v>
      </c>
      <c r="K39" s="5">
        <f t="shared" si="1"/>
        <v>614003.46506616508</v>
      </c>
      <c r="L39" s="5">
        <f t="shared" si="6"/>
        <v>1020</v>
      </c>
      <c r="M39">
        <f t="shared" si="7"/>
        <v>870</v>
      </c>
      <c r="N39" s="107">
        <f t="shared" si="2"/>
        <v>1535.4033265879577</v>
      </c>
      <c r="O39" s="66">
        <f t="shared" si="3"/>
        <v>705.75110927145408</v>
      </c>
      <c r="P39" s="5">
        <f t="shared" si="4"/>
        <v>1096.9283140649841</v>
      </c>
      <c r="Q39" s="6">
        <f t="shared" si="5"/>
        <v>1561.8988817773206</v>
      </c>
    </row>
    <row r="40" spans="10:17">
      <c r="J40" s="5">
        <f t="shared" si="0"/>
        <v>1591108.8710181809</v>
      </c>
      <c r="K40" s="5">
        <f t="shared" si="1"/>
        <v>621743.9695963423</v>
      </c>
      <c r="L40" s="5">
        <f t="shared" si="6"/>
        <v>1040</v>
      </c>
      <c r="M40">
        <f t="shared" si="7"/>
        <v>890</v>
      </c>
      <c r="N40" s="107">
        <f t="shared" si="2"/>
        <v>1529.91237597902</v>
      </c>
      <c r="O40" s="66">
        <f t="shared" si="3"/>
        <v>698.58872988353073</v>
      </c>
      <c r="P40" s="5">
        <f t="shared" si="4"/>
        <v>1093.0054495708312</v>
      </c>
      <c r="Q40" s="6">
        <f t="shared" si="5"/>
        <v>1546.0478087716958</v>
      </c>
    </row>
    <row r="41" spans="10:17">
      <c r="J41" s="5">
        <f t="shared" si="0"/>
        <v>1616017.8071501185</v>
      </c>
      <c r="K41" s="5">
        <f t="shared" si="1"/>
        <v>629406.792471622</v>
      </c>
      <c r="L41" s="5">
        <f t="shared" si="6"/>
        <v>1060</v>
      </c>
      <c r="M41">
        <f t="shared" si="7"/>
        <v>910</v>
      </c>
      <c r="N41" s="107">
        <f t="shared" si="2"/>
        <v>1524.5451010850174</v>
      </c>
      <c r="O41" s="66">
        <f t="shared" si="3"/>
        <v>691.65581590288127</v>
      </c>
      <c r="P41" s="5">
        <f t="shared" si="4"/>
        <v>1089.1709419215056</v>
      </c>
      <c r="Q41" s="6">
        <f t="shared" si="5"/>
        <v>1530.7045660171602</v>
      </c>
    </row>
    <row r="42" spans="10:17">
      <c r="J42" s="5">
        <f t="shared" si="0"/>
        <v>1640840.1771364913</v>
      </c>
      <c r="K42" s="5">
        <f t="shared" si="1"/>
        <v>636994.39545211103</v>
      </c>
      <c r="L42" s="5">
        <f t="shared" si="6"/>
        <v>1080</v>
      </c>
      <c r="M42">
        <f t="shared" si="7"/>
        <v>930</v>
      </c>
      <c r="N42" s="107">
        <f t="shared" si="2"/>
        <v>1519.2964603115661</v>
      </c>
      <c r="O42" s="66">
        <f t="shared" si="3"/>
        <v>684.94021016356021</v>
      </c>
      <c r="P42" s="5">
        <f t="shared" si="4"/>
        <v>1085.4211892831881</v>
      </c>
      <c r="Q42" s="6">
        <f t="shared" si="5"/>
        <v>1515.8422484707794</v>
      </c>
    </row>
    <row r="43" spans="10:17">
      <c r="J43" s="5">
        <f t="shared" si="0"/>
        <v>1665577.8767999574</v>
      </c>
      <c r="K43" s="5">
        <f t="shared" si="1"/>
        <v>644509.11125135259</v>
      </c>
      <c r="L43" s="5">
        <f t="shared" si="6"/>
        <v>1100</v>
      </c>
      <c r="M43">
        <f t="shared" si="7"/>
        <v>950</v>
      </c>
      <c r="N43" s="107">
        <f t="shared" si="2"/>
        <v>1514.1617061817794</v>
      </c>
      <c r="O43" s="66">
        <f t="shared" si="3"/>
        <v>678.43064342247635</v>
      </c>
      <c r="P43" s="5">
        <f t="shared" si="4"/>
        <v>1081.7527999465296</v>
      </c>
      <c r="Q43" s="6">
        <f t="shared" si="5"/>
        <v>1501.435916153074</v>
      </c>
    </row>
    <row r="44" spans="10:17">
      <c r="J44" s="5">
        <f t="shared" si="0"/>
        <v>1690232.7267784507</v>
      </c>
      <c r="K44" s="5">
        <f>M44*O44</f>
        <v>651953.15286431357</v>
      </c>
      <c r="L44" s="5">
        <f t="shared" si="6"/>
        <v>1120</v>
      </c>
      <c r="M44">
        <f t="shared" si="7"/>
        <v>970</v>
      </c>
      <c r="N44" s="107">
        <f t="shared" si="2"/>
        <v>1509.1363631950453</v>
      </c>
      <c r="O44" s="66">
        <f t="shared" si="3"/>
        <v>672.11665243743664</v>
      </c>
      <c r="P44" s="5">
        <f t="shared" si="4"/>
        <v>1078.1625765084402</v>
      </c>
      <c r="Q44" s="6">
        <f t="shared" si="5"/>
        <v>1487.4624128464111</v>
      </c>
    </row>
    <row r="45" spans="10:17">
      <c r="J45" s="5">
        <f>N45*L45</f>
        <v>1714806.4767944962</v>
      </c>
      <c r="K45" s="5">
        <f t="shared" si="1"/>
        <v>659328.62204340659</v>
      </c>
      <c r="L45" s="5">
        <f t="shared" si="6"/>
        <v>1140</v>
      </c>
      <c r="M45">
        <f t="shared" si="7"/>
        <v>990</v>
      </c>
      <c r="N45" s="107">
        <f t="shared" si="2"/>
        <v>1504.2162077144703</v>
      </c>
      <c r="O45" s="66">
        <f t="shared" si="3"/>
        <v>665.98850711455214</v>
      </c>
      <c r="P45" s="105">
        <f t="shared" si="4"/>
        <v>1074.6475015032049</v>
      </c>
      <c r="Q45" s="6">
        <f t="shared" si="5"/>
        <v>1473.9002048648142</v>
      </c>
    </row>
    <row r="46" spans="10:17">
      <c r="J46" s="5">
        <f t="shared" si="0"/>
        <v>1739300.8096115256</v>
      </c>
      <c r="K46" s="5">
        <f t="shared" si="1"/>
        <v>666637.51701594726</v>
      </c>
      <c r="L46" s="5">
        <f t="shared" si="6"/>
        <v>1160</v>
      </c>
      <c r="M46">
        <f t="shared" si="7"/>
        <v>1010</v>
      </c>
      <c r="N46" s="107">
        <f t="shared" si="2"/>
        <v>1499.3972496651083</v>
      </c>
      <c r="O46" s="66">
        <f t="shared" si="3"/>
        <v>660.03714556034379</v>
      </c>
      <c r="P46" s="5">
        <f t="shared" si="4"/>
        <v>1071.2047243272666</v>
      </c>
      <c r="Q46" s="6">
        <f t="shared" si="5"/>
        <v>1460.7292373176767</v>
      </c>
    </row>
    <row r="47" spans="10:17">
      <c r="J47" s="5">
        <f t="shared" si="0"/>
        <v>1763717.3447051535</v>
      </c>
      <c r="K47" s="5">
        <f t="shared" si="1"/>
        <v>673881.7395245533</v>
      </c>
      <c r="L47" s="5">
        <f t="shared" si="6"/>
        <v>1180</v>
      </c>
      <c r="M47">
        <f t="shared" si="7"/>
        <v>1030</v>
      </c>
      <c r="N47" s="107">
        <f t="shared" si="2"/>
        <v>1494.6757158518251</v>
      </c>
      <c r="O47" s="66">
        <f t="shared" si="3"/>
        <v>654.25411604325564</v>
      </c>
      <c r="P47" s="5">
        <f t="shared" si="4"/>
        <v>1067.8315493211169</v>
      </c>
      <c r="Q47" s="6">
        <f t="shared" si="5"/>
        <v>1447.9308056646973</v>
      </c>
    </row>
    <row r="48" spans="10:17">
      <c r="J48" s="5">
        <f t="shared" si="0"/>
        <v>1788057.6416744101</v>
      </c>
      <c r="K48" s="5">
        <f t="shared" si="1"/>
        <v>681063.10126183496</v>
      </c>
      <c r="L48" s="5">
        <f t="shared" si="6"/>
        <v>1200</v>
      </c>
      <c r="M48">
        <f t="shared" si="7"/>
        <v>1050</v>
      </c>
      <c r="N48" s="107">
        <f t="shared" si="2"/>
        <v>1490.048034728675</v>
      </c>
      <c r="O48" s="66">
        <f t="shared" si="3"/>
        <v>648.63152501127138</v>
      </c>
      <c r="P48" s="5">
        <f t="shared" si="4"/>
        <v>1064.5254248881786</v>
      </c>
      <c r="Q48" s="6">
        <f t="shared" si="5"/>
        <v>1435.4874406735844</v>
      </c>
    </row>
    <row r="49" spans="10:17">
      <c r="J49" s="5">
        <f t="shared" si="0"/>
        <v>1812323.2034153861</v>
      </c>
      <c r="K49" s="5">
        <f t="shared" si="1"/>
        <v>688183.32976199174</v>
      </c>
      <c r="L49" s="5">
        <f t="shared" si="6"/>
        <v>1220</v>
      </c>
      <c r="M49">
        <f t="shared" si="7"/>
        <v>1070</v>
      </c>
      <c r="N49" s="107">
        <f t="shared" si="2"/>
        <v>1485.510822471628</v>
      </c>
      <c r="O49" s="66">
        <f t="shared" si="3"/>
        <v>643.161990431768</v>
      </c>
      <c r="P49" s="5">
        <f t="shared" si="4"/>
        <v>1061.2839335448339</v>
      </c>
      <c r="Q49" s="6">
        <f t="shared" si="5"/>
        <v>1423.3828051564153</v>
      </c>
    </row>
    <row r="50" spans="10:17" ht="17" thickBot="1">
      <c r="J50" s="5">
        <f t="shared" si="0"/>
        <v>1836515.4790774502</v>
      </c>
      <c r="K50" s="44">
        <f t="shared" si="1"/>
        <v>695244.07380441565</v>
      </c>
      <c r="L50" s="2">
        <f t="shared" si="6"/>
        <v>1240</v>
      </c>
      <c r="M50" s="3">
        <f t="shared" si="7"/>
        <v>1090</v>
      </c>
      <c r="N50" s="108">
        <f t="shared" si="2"/>
        <v>1481.0608702237503</v>
      </c>
      <c r="O50" s="106">
        <f t="shared" si="3"/>
        <v>637.83859982056481</v>
      </c>
      <c r="P50" s="2">
        <f t="shared" si="4"/>
        <v>1058.1047828080814</v>
      </c>
      <c r="Q50" s="4">
        <f t="shared" si="5"/>
        <v>1411.6016010836577</v>
      </c>
    </row>
    <row r="51" spans="10:17">
      <c r="J51" s="40"/>
      <c r="K51" s="40"/>
    </row>
  </sheetData>
  <mergeCells count="3">
    <mergeCell ref="B3:H3"/>
    <mergeCell ref="B10:H10"/>
    <mergeCell ref="U24:X2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E9130-CA8C-354C-9E5E-A27AE5D7C26C}">
  <dimension ref="B3:N20"/>
  <sheetViews>
    <sheetView zoomScale="106" zoomScaleNormal="150" workbookViewId="0">
      <selection activeCell="B7" sqref="B7"/>
    </sheetView>
  </sheetViews>
  <sheetFormatPr baseColWidth="10" defaultColWidth="11" defaultRowHeight="16"/>
  <cols>
    <col min="2" max="2" width="33.6640625" customWidth="1"/>
    <col min="4" max="4" width="19.1640625" customWidth="1"/>
    <col min="5" max="5" width="28.5" customWidth="1"/>
    <col min="6" max="10" width="16.33203125" customWidth="1"/>
    <col min="11" max="11" width="13.5" customWidth="1"/>
    <col min="12" max="12" width="11.6640625" bestFit="1" customWidth="1"/>
    <col min="14" max="14" width="15.5" customWidth="1"/>
  </cols>
  <sheetData>
    <row r="3" spans="2:14" ht="17" thickBot="1"/>
    <row r="4" spans="2:14" ht="22" thickBot="1">
      <c r="B4" s="10" t="s">
        <v>1</v>
      </c>
      <c r="C4" s="11"/>
      <c r="D4" s="12" t="s">
        <v>3</v>
      </c>
      <c r="E4" s="12" t="s">
        <v>4</v>
      </c>
      <c r="F4" s="102" t="s">
        <v>5</v>
      </c>
      <c r="G4" s="260"/>
      <c r="H4" s="260"/>
      <c r="I4" s="260"/>
      <c r="J4" s="260"/>
    </row>
    <row r="5" spans="2:14" ht="96" customHeight="1">
      <c r="B5" s="407" t="s">
        <v>512</v>
      </c>
      <c r="C5" s="40">
        <v>65276000</v>
      </c>
      <c r="D5" s="40" t="s">
        <v>425</v>
      </c>
      <c r="E5" s="40" t="s">
        <v>513</v>
      </c>
      <c r="F5" s="41" t="s">
        <v>514</v>
      </c>
    </row>
    <row r="6" spans="2:14" ht="72" customHeight="1">
      <c r="B6" s="5" t="s">
        <v>515</v>
      </c>
      <c r="C6">
        <f>11310000+9186000+15917000</f>
        <v>36413000</v>
      </c>
      <c r="D6" t="s">
        <v>425</v>
      </c>
      <c r="E6" t="s">
        <v>513</v>
      </c>
      <c r="F6" s="6" t="s">
        <v>514</v>
      </c>
      <c r="M6" s="1"/>
    </row>
    <row r="7" spans="2:14" ht="65" customHeight="1" thickBot="1">
      <c r="B7" s="408" t="s">
        <v>516</v>
      </c>
      <c r="C7">
        <v>122077000</v>
      </c>
      <c r="D7" t="s">
        <v>425</v>
      </c>
      <c r="E7" t="s">
        <v>513</v>
      </c>
      <c r="F7" s="6" t="s">
        <v>514</v>
      </c>
    </row>
    <row r="8" spans="2:14" ht="72" customHeight="1">
      <c r="B8" s="5" t="s">
        <v>517</v>
      </c>
      <c r="C8">
        <v>1</v>
      </c>
      <c r="D8" t="s">
        <v>518</v>
      </c>
      <c r="E8" t="s">
        <v>513</v>
      </c>
      <c r="F8" s="6" t="s">
        <v>73</v>
      </c>
      <c r="K8" s="201"/>
      <c r="L8" s="40"/>
      <c r="M8" s="40"/>
      <c r="N8" s="172" t="s">
        <v>6</v>
      </c>
    </row>
    <row r="9" spans="2:14" ht="74" customHeight="1">
      <c r="B9" s="5" t="s">
        <v>519</v>
      </c>
      <c r="C9" s="103">
        <v>1200000</v>
      </c>
      <c r="D9" t="s">
        <v>425</v>
      </c>
      <c r="E9" t="s">
        <v>513</v>
      </c>
      <c r="F9" s="6" t="s">
        <v>514</v>
      </c>
      <c r="K9" s="202" t="s">
        <v>520</v>
      </c>
      <c r="L9">
        <f>(C7+C6+C8+C9)/C10</f>
        <v>1596900.01</v>
      </c>
      <c r="M9" t="s">
        <v>521</v>
      </c>
      <c r="N9" s="6" t="s">
        <v>522</v>
      </c>
    </row>
    <row r="10" spans="2:14" ht="34">
      <c r="B10" s="5" t="s">
        <v>523</v>
      </c>
      <c r="C10">
        <v>100</v>
      </c>
      <c r="D10" t="s">
        <v>59</v>
      </c>
      <c r="E10" t="s">
        <v>524</v>
      </c>
      <c r="F10" s="6" t="s">
        <v>514</v>
      </c>
      <c r="K10" s="202" t="s">
        <v>525</v>
      </c>
      <c r="L10">
        <f>C5/(C10*C11)</f>
        <v>81595</v>
      </c>
      <c r="M10" t="s">
        <v>11</v>
      </c>
      <c r="N10" s="6" t="s">
        <v>526</v>
      </c>
    </row>
    <row r="11" spans="2:14" ht="34">
      <c r="B11" s="5" t="s">
        <v>32</v>
      </c>
      <c r="C11">
        <v>8</v>
      </c>
      <c r="D11" t="s">
        <v>32</v>
      </c>
      <c r="F11" s="6" t="s">
        <v>514</v>
      </c>
      <c r="K11" s="202" t="s">
        <v>527</v>
      </c>
      <c r="L11">
        <f>GenX_sources!D36</f>
        <v>0.3</v>
      </c>
      <c r="N11" s="6" t="s">
        <v>528</v>
      </c>
    </row>
    <row r="12" spans="2:14" ht="104" customHeight="1">
      <c r="B12" s="5" t="s">
        <v>529</v>
      </c>
      <c r="C12">
        <v>85.39</v>
      </c>
      <c r="D12" t="s">
        <v>530</v>
      </c>
      <c r="E12" t="s">
        <v>531</v>
      </c>
      <c r="F12" s="6" t="s">
        <v>514</v>
      </c>
      <c r="K12" s="203" t="s">
        <v>532</v>
      </c>
      <c r="L12" s="204">
        <f>C7*L11/C10</f>
        <v>366231</v>
      </c>
      <c r="M12" s="204" t="s">
        <v>438</v>
      </c>
      <c r="N12" s="205" t="s">
        <v>533</v>
      </c>
    </row>
    <row r="13" spans="2:14" ht="55" customHeight="1" thickBot="1">
      <c r="B13" s="5" t="s">
        <v>534</v>
      </c>
      <c r="C13">
        <v>0</v>
      </c>
      <c r="D13" t="s">
        <v>11</v>
      </c>
      <c r="E13" t="s">
        <v>535</v>
      </c>
      <c r="F13" s="6" t="s">
        <v>514</v>
      </c>
      <c r="K13" s="206" t="s">
        <v>536</v>
      </c>
      <c r="L13" s="207">
        <f>C5/(C10*C11)</f>
        <v>81595</v>
      </c>
      <c r="M13" s="207" t="s">
        <v>11</v>
      </c>
      <c r="N13" s="208" t="s">
        <v>537</v>
      </c>
    </row>
    <row r="14" spans="2:14" ht="39" customHeight="1">
      <c r="B14" s="5" t="s">
        <v>538</v>
      </c>
      <c r="C14">
        <v>845</v>
      </c>
      <c r="D14" t="s">
        <v>539</v>
      </c>
      <c r="E14" t="s">
        <v>540</v>
      </c>
      <c r="F14" s="6" t="s">
        <v>541</v>
      </c>
      <c r="G14" t="s">
        <v>542</v>
      </c>
    </row>
    <row r="15" spans="2:14" ht="46" customHeight="1" thickBot="1">
      <c r="B15" s="2" t="s">
        <v>543</v>
      </c>
      <c r="C15" s="3">
        <v>423</v>
      </c>
      <c r="D15" s="3" t="s">
        <v>544</v>
      </c>
      <c r="E15" s="3" t="s">
        <v>540</v>
      </c>
      <c r="F15" s="4" t="s">
        <v>541</v>
      </c>
      <c r="G15" t="s">
        <v>542</v>
      </c>
    </row>
    <row r="16" spans="2:14" ht="17" customHeight="1" thickBot="1">
      <c r="B16" s="294" t="s">
        <v>332</v>
      </c>
      <c r="C16" s="295"/>
      <c r="D16" s="295"/>
      <c r="E16" s="295"/>
      <c r="F16" s="296"/>
      <c r="G16" s="264"/>
      <c r="H16" s="264"/>
      <c r="I16" s="264"/>
      <c r="J16" s="264"/>
    </row>
    <row r="17" spans="2:6" ht="17">
      <c r="B17" s="51" t="s">
        <v>545</v>
      </c>
      <c r="C17" s="52">
        <f>(C5+C6+C7+C9 + (C8*1000*C10)) / 1000 / C10</f>
        <v>2250.66</v>
      </c>
      <c r="D17" s="52" t="s">
        <v>546</v>
      </c>
      <c r="E17" s="52" t="s">
        <v>547</v>
      </c>
      <c r="F17" s="53"/>
    </row>
    <row r="18" spans="2:6" ht="18" thickBot="1">
      <c r="B18" s="54" t="s">
        <v>548</v>
      </c>
      <c r="C18" s="55">
        <f>C7/1000/C10</f>
        <v>1220.77</v>
      </c>
      <c r="D18" s="55" t="s">
        <v>546</v>
      </c>
      <c r="E18" s="55" t="s">
        <v>547</v>
      </c>
      <c r="F18" s="56"/>
    </row>
    <row r="19" spans="2:6" ht="35" thickBot="1">
      <c r="B19" s="165" t="s">
        <v>529</v>
      </c>
      <c r="C19" s="166">
        <f>C12*1000/C11</f>
        <v>10673.75</v>
      </c>
      <c r="D19" s="166" t="s">
        <v>549</v>
      </c>
      <c r="E19" s="166"/>
      <c r="F19" s="167"/>
    </row>
    <row r="20" spans="2:6" ht="35" thickBot="1">
      <c r="B20" s="165" t="s">
        <v>189</v>
      </c>
      <c r="C20" s="166">
        <f>C12</f>
        <v>85.39</v>
      </c>
      <c r="D20" s="166" t="s">
        <v>550</v>
      </c>
      <c r="E20" s="166"/>
      <c r="F20" s="167"/>
    </row>
  </sheetData>
  <mergeCells count="1">
    <mergeCell ref="B16:F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82D2F-D037-3C43-A75B-DC75E19D59FF}">
  <dimension ref="B1:AV47"/>
  <sheetViews>
    <sheetView topLeftCell="H29" zoomScaleNormal="90" workbookViewId="0">
      <selection activeCell="AH7" sqref="AH7"/>
    </sheetView>
  </sheetViews>
  <sheetFormatPr baseColWidth="10" defaultColWidth="11" defaultRowHeight="16"/>
  <cols>
    <col min="2" max="2" width="22" customWidth="1"/>
    <col min="3" max="3" width="19.1640625" customWidth="1"/>
    <col min="4" max="4" width="12.33203125" bestFit="1" customWidth="1"/>
    <col min="6" max="6" width="52" customWidth="1"/>
    <col min="7" max="7" width="16.1640625" customWidth="1"/>
    <col min="8" max="8" width="14.5" customWidth="1"/>
    <col min="11" max="11" width="21.1640625" customWidth="1"/>
    <col min="12" max="12" width="18.1640625" customWidth="1"/>
    <col min="13" max="13" width="19.6640625" customWidth="1"/>
    <col min="15" max="15" width="38.83203125" customWidth="1"/>
    <col min="16" max="16" width="19.1640625" customWidth="1"/>
    <col min="18" max="18" width="19.5" customWidth="1"/>
    <col min="19" max="19" width="27.5" customWidth="1"/>
    <col min="21" max="21" width="21.83203125" customWidth="1"/>
    <col min="22" max="22" width="21" customWidth="1"/>
    <col min="23" max="23" width="16.83203125" customWidth="1"/>
    <col min="24" max="24" width="20.6640625" customWidth="1"/>
    <col min="25" max="25" width="26.1640625" customWidth="1"/>
    <col min="26" max="26" width="16.83203125" customWidth="1"/>
    <col min="27" max="27" width="21.1640625" customWidth="1"/>
    <col min="28" max="28" width="22.5" customWidth="1"/>
    <col min="29" max="29" width="21" customWidth="1"/>
    <col min="30" max="30" width="15.33203125" customWidth="1"/>
    <col min="31" max="31" width="13" customWidth="1"/>
    <col min="32" max="32" width="16.6640625" customWidth="1"/>
    <col min="33" max="33" width="13.5" customWidth="1"/>
    <col min="34" max="34" width="15.6640625" customWidth="1"/>
  </cols>
  <sheetData>
    <row r="1" spans="2:48" ht="17" thickBot="1"/>
    <row r="2" spans="2:48" ht="23" thickBot="1">
      <c r="B2" s="10" t="s">
        <v>277</v>
      </c>
      <c r="C2" s="11" t="s">
        <v>1</v>
      </c>
      <c r="D2" s="11" t="s">
        <v>2</v>
      </c>
      <c r="E2" s="12" t="s">
        <v>3</v>
      </c>
      <c r="F2" s="12" t="s">
        <v>4</v>
      </c>
      <c r="G2" s="12" t="s">
        <v>5</v>
      </c>
      <c r="H2" s="77" t="s">
        <v>6</v>
      </c>
      <c r="K2" s="174" t="s">
        <v>1</v>
      </c>
      <c r="L2" s="174" t="s">
        <v>551</v>
      </c>
      <c r="M2" s="82" t="s">
        <v>552</v>
      </c>
      <c r="N2" s="11" t="s">
        <v>3</v>
      </c>
      <c r="O2" s="12" t="s">
        <v>4</v>
      </c>
      <c r="P2" s="102" t="s">
        <v>5</v>
      </c>
    </row>
    <row r="3" spans="2:48" ht="36" customHeight="1" thickBot="1">
      <c r="B3" s="288" t="s">
        <v>553</v>
      </c>
      <c r="C3" s="289"/>
      <c r="D3" s="289"/>
      <c r="E3" s="289"/>
      <c r="F3" s="289"/>
      <c r="G3" s="289"/>
      <c r="H3" s="290"/>
      <c r="J3" s="101"/>
      <c r="K3" s="39" t="s">
        <v>554</v>
      </c>
      <c r="L3" s="39">
        <v>500</v>
      </c>
      <c r="M3" s="33">
        <v>500</v>
      </c>
      <c r="N3" s="40" t="s">
        <v>510</v>
      </c>
      <c r="O3" s="40" t="s">
        <v>555</v>
      </c>
      <c r="P3" s="41" t="s">
        <v>556</v>
      </c>
    </row>
    <row r="4" spans="2:48" ht="37" thickBot="1">
      <c r="B4" s="300" t="s">
        <v>557</v>
      </c>
      <c r="C4" s="40" t="s">
        <v>558</v>
      </c>
      <c r="D4" s="40">
        <v>385</v>
      </c>
      <c r="E4" s="40" t="s">
        <v>559</v>
      </c>
      <c r="F4" s="40" t="s">
        <v>560</v>
      </c>
      <c r="G4" s="40" t="s">
        <v>168</v>
      </c>
      <c r="H4" s="41"/>
      <c r="J4" s="101"/>
      <c r="K4" s="5" t="s">
        <v>561</v>
      </c>
      <c r="L4" s="5">
        <v>2150</v>
      </c>
      <c r="M4" s="44">
        <v>2150</v>
      </c>
      <c r="N4" t="s">
        <v>510</v>
      </c>
      <c r="O4" t="s">
        <v>562</v>
      </c>
      <c r="P4" s="6" t="s">
        <v>556</v>
      </c>
      <c r="X4" s="306" t="s">
        <v>563</v>
      </c>
      <c r="Y4" s="307"/>
      <c r="Z4" s="308"/>
    </row>
    <row r="5" spans="2:48" ht="68" customHeight="1" thickBot="1">
      <c r="B5" s="301"/>
      <c r="C5" t="s">
        <v>564</v>
      </c>
      <c r="D5">
        <v>540</v>
      </c>
      <c r="E5" t="s">
        <v>43</v>
      </c>
      <c r="F5" t="s">
        <v>565</v>
      </c>
      <c r="G5" t="s">
        <v>168</v>
      </c>
      <c r="H5" s="6"/>
      <c r="J5" s="101"/>
      <c r="K5" s="5" t="s">
        <v>523</v>
      </c>
      <c r="L5" s="5">
        <v>687</v>
      </c>
      <c r="M5" s="44">
        <v>685</v>
      </c>
      <c r="N5" t="s">
        <v>566</v>
      </c>
      <c r="O5" t="s">
        <v>567</v>
      </c>
      <c r="P5" s="6" t="s">
        <v>556</v>
      </c>
      <c r="R5" s="147"/>
      <c r="S5" s="148"/>
      <c r="T5" s="149" t="s">
        <v>568</v>
      </c>
      <c r="U5" s="111" t="s">
        <v>569</v>
      </c>
      <c r="V5" s="111" t="s">
        <v>570</v>
      </c>
      <c r="W5" s="111" t="s">
        <v>571</v>
      </c>
      <c r="X5" s="113" t="s">
        <v>572</v>
      </c>
      <c r="Y5" s="111" t="s">
        <v>573</v>
      </c>
      <c r="Z5" s="114" t="s">
        <v>574</v>
      </c>
      <c r="AA5" s="111" t="s">
        <v>575</v>
      </c>
      <c r="AB5" s="111" t="s">
        <v>576</v>
      </c>
      <c r="AC5" s="112" t="s">
        <v>577</v>
      </c>
      <c r="AD5" s="415" t="s">
        <v>578</v>
      </c>
      <c r="AE5" s="114" t="s">
        <v>311</v>
      </c>
      <c r="AF5" s="148"/>
      <c r="AG5" s="148"/>
      <c r="AH5" s="148"/>
    </row>
    <row r="6" spans="2:48" ht="18" customHeight="1" thickBot="1">
      <c r="B6" s="301"/>
      <c r="C6" t="s">
        <v>579</v>
      </c>
      <c r="D6">
        <v>50</v>
      </c>
      <c r="E6" t="s">
        <v>43</v>
      </c>
      <c r="F6" t="s">
        <v>580</v>
      </c>
      <c r="G6" t="s">
        <v>168</v>
      </c>
      <c r="H6" s="6"/>
      <c r="J6" s="101"/>
      <c r="K6" s="2" t="s">
        <v>581</v>
      </c>
      <c r="L6" s="2">
        <v>37</v>
      </c>
      <c r="M6" s="42">
        <v>35</v>
      </c>
      <c r="N6" s="3" t="s">
        <v>566</v>
      </c>
      <c r="O6" s="3" t="s">
        <v>582</v>
      </c>
      <c r="P6" s="4" t="s">
        <v>556</v>
      </c>
      <c r="R6" s="303" t="s">
        <v>583</v>
      </c>
      <c r="S6" s="142" t="s">
        <v>584</v>
      </c>
      <c r="T6" s="115">
        <v>500</v>
      </c>
      <c r="U6" s="81">
        <v>2254.6</v>
      </c>
      <c r="V6" s="81">
        <v>1976.4</v>
      </c>
      <c r="W6" s="81">
        <v>87.66</v>
      </c>
      <c r="X6" s="116">
        <f>1517.8/3.6</f>
        <v>421.61111111111109</v>
      </c>
      <c r="Y6" s="115">
        <v>537.6</v>
      </c>
      <c r="Z6" s="117">
        <f>171.3/10.197</f>
        <v>16.799058546631365</v>
      </c>
      <c r="AA6" s="118">
        <f>693.3/ 7501</f>
        <v>9.2427676309825346E-2</v>
      </c>
      <c r="AB6" s="115">
        <v>7.84</v>
      </c>
      <c r="AC6" s="119">
        <f>(860/V6)</f>
        <v>0.43513458814005262</v>
      </c>
      <c r="AD6" s="416">
        <f>M43/100*500</f>
        <v>1.9343065693430657</v>
      </c>
      <c r="AE6" s="144" t="s">
        <v>585</v>
      </c>
    </row>
    <row r="7" spans="2:48" ht="34" customHeight="1">
      <c r="B7" s="301"/>
      <c r="C7" t="s">
        <v>586</v>
      </c>
      <c r="D7">
        <v>-15840779.5</v>
      </c>
      <c r="E7" t="s">
        <v>587</v>
      </c>
      <c r="F7" t="s">
        <v>588</v>
      </c>
      <c r="G7" t="s">
        <v>168</v>
      </c>
      <c r="H7" s="6"/>
      <c r="J7" s="101"/>
      <c r="K7" s="39" t="s">
        <v>589</v>
      </c>
      <c r="L7" s="39">
        <v>25</v>
      </c>
      <c r="M7" s="33">
        <v>25</v>
      </c>
      <c r="N7" s="40" t="s">
        <v>518</v>
      </c>
      <c r="O7" s="40" t="s">
        <v>590</v>
      </c>
      <c r="P7" s="41" t="s">
        <v>556</v>
      </c>
      <c r="R7" s="304"/>
      <c r="S7" s="141" t="s">
        <v>591</v>
      </c>
      <c r="T7" s="115">
        <v>446.3</v>
      </c>
      <c r="U7" s="81">
        <v>2566.1999999999998</v>
      </c>
      <c r="V7" s="81">
        <v>2109.1</v>
      </c>
      <c r="W7" s="81">
        <v>82.21</v>
      </c>
      <c r="X7" s="116">
        <f>1332.8/3.6</f>
        <v>370.22222222222223</v>
      </c>
      <c r="Y7" s="115">
        <v>539.20000000000005</v>
      </c>
      <c r="Z7" s="117">
        <f>163.5/10.197</f>
        <v>16.034127684613122</v>
      </c>
      <c r="AA7" s="118">
        <f>664.4/ 7501</f>
        <v>8.8574856685775222E-2</v>
      </c>
      <c r="AB7" s="115">
        <v>7.84</v>
      </c>
      <c r="AC7" s="120">
        <f>(860/V7)</f>
        <v>0.40775686311696935</v>
      </c>
      <c r="AD7" s="44"/>
      <c r="AE7" s="145" t="s">
        <v>585</v>
      </c>
      <c r="AV7">
        <f>7.384*500 + 0.5279</f>
        <v>3692.5279</v>
      </c>
    </row>
    <row r="8" spans="2:48" ht="18" customHeight="1" thickBot="1">
      <c r="B8" s="301"/>
      <c r="C8" t="s">
        <v>592</v>
      </c>
      <c r="D8">
        <v>-12434783</v>
      </c>
      <c r="E8" t="s">
        <v>587</v>
      </c>
      <c r="F8" t="s">
        <v>593</v>
      </c>
      <c r="G8" t="s">
        <v>168</v>
      </c>
      <c r="H8" s="6"/>
      <c r="J8" s="101"/>
      <c r="K8" s="5" t="s">
        <v>594</v>
      </c>
      <c r="L8" s="5">
        <v>22</v>
      </c>
      <c r="M8" s="44">
        <v>21</v>
      </c>
      <c r="N8" t="s">
        <v>518</v>
      </c>
      <c r="O8" t="s">
        <v>595</v>
      </c>
      <c r="P8" s="6" t="s">
        <v>556</v>
      </c>
      <c r="R8" s="305"/>
      <c r="S8" s="143" t="s">
        <v>596</v>
      </c>
      <c r="T8" s="121">
        <v>0.107</v>
      </c>
      <c r="U8" s="121">
        <v>0.13800000000000001</v>
      </c>
      <c r="V8" s="121">
        <v>6.7000000000000004E-2</v>
      </c>
      <c r="W8" s="121">
        <v>-6.2E-2</v>
      </c>
      <c r="X8" s="122">
        <v>-0.122</v>
      </c>
      <c r="Y8" s="121">
        <v>3.0000000000000001E-3</v>
      </c>
      <c r="Z8" s="123">
        <v>-4.4999999999999998E-2</v>
      </c>
      <c r="AA8" s="121">
        <v>-4.1000000000000002E-2</v>
      </c>
      <c r="AB8" s="81"/>
      <c r="AC8" s="124"/>
      <c r="AD8" s="42"/>
      <c r="AE8" s="145" t="s">
        <v>585</v>
      </c>
    </row>
    <row r="9" spans="2:48" ht="42" customHeight="1">
      <c r="B9" s="300" t="s">
        <v>597</v>
      </c>
      <c r="C9" s="40" t="s">
        <v>598</v>
      </c>
      <c r="D9" s="40">
        <v>-121814416</v>
      </c>
      <c r="E9" s="40" t="s">
        <v>27</v>
      </c>
      <c r="F9" s="40" t="s">
        <v>599</v>
      </c>
      <c r="G9" s="40" t="s">
        <v>168</v>
      </c>
      <c r="H9" s="41"/>
      <c r="J9" s="101"/>
      <c r="K9" s="5" t="s">
        <v>600</v>
      </c>
      <c r="L9" s="5">
        <v>8</v>
      </c>
      <c r="M9" s="44">
        <v>9</v>
      </c>
      <c r="N9" t="s">
        <v>518</v>
      </c>
      <c r="O9" t="s">
        <v>601</v>
      </c>
      <c r="P9" s="6" t="s">
        <v>556</v>
      </c>
      <c r="R9" s="303" t="s">
        <v>602</v>
      </c>
      <c r="S9" s="142" t="s">
        <v>584</v>
      </c>
      <c r="T9" s="125">
        <v>250</v>
      </c>
      <c r="U9" s="85">
        <v>2300.6999999999998</v>
      </c>
      <c r="V9" s="85">
        <v>2004.2</v>
      </c>
      <c r="W9" s="85">
        <v>87.18</v>
      </c>
      <c r="X9" s="126">
        <f>748.3/3.6</f>
        <v>207.86111111111109</v>
      </c>
      <c r="Y9" s="125">
        <v>537.6</v>
      </c>
      <c r="Z9" s="127">
        <f>150.6/10.197</f>
        <v>14.769049720506032</v>
      </c>
      <c r="AA9" s="128">
        <f>682 /7501</f>
        <v>9.092121050526597E-2</v>
      </c>
      <c r="AB9" s="129">
        <v>9.44</v>
      </c>
      <c r="AC9" s="140">
        <f>860/V9</f>
        <v>0.42909889232611514</v>
      </c>
      <c r="AD9" s="33"/>
      <c r="AE9" s="145" t="s">
        <v>585</v>
      </c>
    </row>
    <row r="10" spans="2:48" ht="46" customHeight="1">
      <c r="B10" s="301"/>
      <c r="C10" t="s">
        <v>603</v>
      </c>
      <c r="D10">
        <v>-177080154</v>
      </c>
      <c r="E10" t="s">
        <v>27</v>
      </c>
      <c r="F10" t="s">
        <v>604</v>
      </c>
      <c r="G10" t="s">
        <v>168</v>
      </c>
      <c r="H10" s="6"/>
      <c r="J10" s="101"/>
      <c r="K10" s="5" t="s">
        <v>605</v>
      </c>
      <c r="L10" s="5">
        <v>37</v>
      </c>
      <c r="M10" s="44">
        <v>35</v>
      </c>
      <c r="N10" t="s">
        <v>518</v>
      </c>
      <c r="O10" t="s">
        <v>606</v>
      </c>
      <c r="P10" s="6" t="s">
        <v>556</v>
      </c>
      <c r="R10" s="304"/>
      <c r="S10" s="141" t="s">
        <v>591</v>
      </c>
      <c r="T10" s="115">
        <v>251.3</v>
      </c>
      <c r="U10" s="81">
        <v>2687.2</v>
      </c>
      <c r="V10" s="81">
        <v>2239.9</v>
      </c>
      <c r="W10" s="81">
        <v>83.38</v>
      </c>
      <c r="X10" s="131">
        <f>780.6/3.6</f>
        <v>216.83333333333334</v>
      </c>
      <c r="Y10" s="115">
        <v>537</v>
      </c>
      <c r="Z10" s="117">
        <f>150.8/10.197</f>
        <v>14.788663332352655</v>
      </c>
      <c r="AA10" s="132">
        <f>661.8 /7501</f>
        <v>8.8228236235168636E-2</v>
      </c>
      <c r="AB10" s="133">
        <v>9.44</v>
      </c>
      <c r="AC10" s="130">
        <f>860/V10</f>
        <v>0.38394571186213666</v>
      </c>
      <c r="AD10" s="44"/>
      <c r="AE10" s="145" t="s">
        <v>585</v>
      </c>
    </row>
    <row r="11" spans="2:48" ht="35" thickBot="1">
      <c r="B11" s="301"/>
      <c r="C11" t="s">
        <v>607</v>
      </c>
      <c r="D11">
        <v>-220572886</v>
      </c>
      <c r="E11" t="s">
        <v>27</v>
      </c>
      <c r="F11" t="s">
        <v>608</v>
      </c>
      <c r="G11" t="s">
        <v>168</v>
      </c>
      <c r="H11" s="6"/>
      <c r="J11" s="101"/>
      <c r="K11" s="5" t="s">
        <v>609</v>
      </c>
      <c r="L11" s="5">
        <v>30</v>
      </c>
      <c r="M11" s="44">
        <v>28</v>
      </c>
      <c r="N11" t="s">
        <v>518</v>
      </c>
      <c r="O11" t="s">
        <v>610</v>
      </c>
      <c r="P11" s="6" t="s">
        <v>556</v>
      </c>
      <c r="R11" s="305"/>
      <c r="S11" s="143" t="s">
        <v>596</v>
      </c>
      <c r="T11" s="134">
        <v>5.0000000000000001E-3</v>
      </c>
      <c r="U11" s="134">
        <v>0.16800000000000001</v>
      </c>
      <c r="V11" s="134">
        <v>0.11700000000000001</v>
      </c>
      <c r="W11" s="134">
        <v>-4.3999999999999997E-2</v>
      </c>
      <c r="X11" s="135">
        <v>4.2999999999999997E-2</v>
      </c>
      <c r="Y11" s="134">
        <v>-1E-3</v>
      </c>
      <c r="Z11" s="136">
        <v>2E-3</v>
      </c>
      <c r="AA11" s="134">
        <v>-0.03</v>
      </c>
      <c r="AB11" s="137"/>
      <c r="AC11" s="139"/>
      <c r="AD11" s="42"/>
      <c r="AE11" s="145" t="s">
        <v>585</v>
      </c>
    </row>
    <row r="12" spans="2:48" ht="21" customHeight="1" thickBot="1">
      <c r="B12" s="302"/>
      <c r="C12" s="3" t="s">
        <v>611</v>
      </c>
      <c r="D12" s="3">
        <v>7387185.5700000003</v>
      </c>
      <c r="E12" s="3" t="s">
        <v>27</v>
      </c>
      <c r="F12" s="3" t="s">
        <v>612</v>
      </c>
      <c r="G12" t="s">
        <v>168</v>
      </c>
      <c r="H12" s="4"/>
      <c r="J12" s="101"/>
      <c r="K12" s="5" t="s">
        <v>613</v>
      </c>
      <c r="L12" s="5">
        <v>1</v>
      </c>
      <c r="M12" s="44">
        <v>1</v>
      </c>
      <c r="N12" t="s">
        <v>518</v>
      </c>
      <c r="O12" t="s">
        <v>614</v>
      </c>
      <c r="P12" s="6" t="s">
        <v>556</v>
      </c>
      <c r="R12" s="303" t="s">
        <v>615</v>
      </c>
      <c r="S12" s="142" t="s">
        <v>584</v>
      </c>
      <c r="T12" s="85">
        <v>210.1</v>
      </c>
      <c r="U12" s="85">
        <v>2361.6</v>
      </c>
      <c r="V12" s="85">
        <v>2025.5</v>
      </c>
      <c r="W12" s="85">
        <v>85.8</v>
      </c>
      <c r="X12" s="151">
        <f>645.1/3.6</f>
        <v>179.19444444444446</v>
      </c>
      <c r="Y12" s="85">
        <v>537.29999999999995</v>
      </c>
      <c r="Z12" s="152">
        <f>142.2/10.197</f>
        <v>13.945278022947926</v>
      </c>
      <c r="AA12" s="153">
        <f>686.5 /7501</f>
        <v>9.1521130515931207E-2</v>
      </c>
      <c r="AB12" s="85">
        <v>9.57</v>
      </c>
      <c r="AC12" s="154">
        <f t="shared" ref="AC12:AC24" si="0">860/V12</f>
        <v>0.42458652184645768</v>
      </c>
      <c r="AD12" s="33">
        <f>M43/100*210</f>
        <v>0.81240875912408761</v>
      </c>
      <c r="AE12" s="145" t="s">
        <v>585</v>
      </c>
    </row>
    <row r="13" spans="2:48" ht="17">
      <c r="B13" s="300" t="s">
        <v>616</v>
      </c>
      <c r="C13" s="40" t="s">
        <v>617</v>
      </c>
      <c r="D13" s="40">
        <v>4200</v>
      </c>
      <c r="E13" s="40" t="s">
        <v>559</v>
      </c>
      <c r="F13" s="40" t="s">
        <v>618</v>
      </c>
      <c r="G13" s="40" t="s">
        <v>168</v>
      </c>
      <c r="H13" s="41"/>
      <c r="J13" s="101"/>
      <c r="K13" s="5" t="s">
        <v>619</v>
      </c>
      <c r="L13" s="5">
        <v>139</v>
      </c>
      <c r="M13" s="44">
        <v>156</v>
      </c>
      <c r="N13" t="s">
        <v>518</v>
      </c>
      <c r="O13" t="s">
        <v>620</v>
      </c>
      <c r="P13" s="6" t="s">
        <v>556</v>
      </c>
      <c r="R13" s="304"/>
      <c r="S13" s="141" t="s">
        <v>591</v>
      </c>
      <c r="T13" s="115">
        <v>198.5</v>
      </c>
      <c r="U13" s="81">
        <v>2714.4</v>
      </c>
      <c r="V13" s="81">
        <v>2213.8000000000002</v>
      </c>
      <c r="W13" s="81">
        <v>81.7</v>
      </c>
      <c r="X13" s="131">
        <f>626.6/3.6</f>
        <v>174.05555555555557</v>
      </c>
      <c r="Y13" s="115">
        <v>535</v>
      </c>
      <c r="Z13" s="117">
        <f>134.8/10.197</f>
        <v>13.219574384622931</v>
      </c>
      <c r="AA13" s="132">
        <f>659.3 /7501</f>
        <v>8.7894947340354607E-2</v>
      </c>
      <c r="AB13" s="115">
        <v>9.57</v>
      </c>
      <c r="AC13" s="130">
        <f t="shared" si="0"/>
        <v>0.38847231005510885</v>
      </c>
      <c r="AD13" s="44"/>
      <c r="AE13" s="145" t="s">
        <v>585</v>
      </c>
    </row>
    <row r="14" spans="2:48" ht="18" thickBot="1">
      <c r="B14" s="301"/>
      <c r="C14" t="s">
        <v>621</v>
      </c>
      <c r="D14">
        <v>565</v>
      </c>
      <c r="E14" t="s">
        <v>43</v>
      </c>
      <c r="F14" t="s">
        <v>622</v>
      </c>
      <c r="G14" t="s">
        <v>168</v>
      </c>
      <c r="H14" s="6"/>
      <c r="J14" s="101"/>
      <c r="K14" s="5" t="s">
        <v>623</v>
      </c>
      <c r="L14" s="5">
        <v>9</v>
      </c>
      <c r="M14" s="44">
        <v>10</v>
      </c>
      <c r="N14" t="s">
        <v>518</v>
      </c>
      <c r="O14" t="s">
        <v>624</v>
      </c>
      <c r="P14" s="6" t="s">
        <v>556</v>
      </c>
      <c r="R14" s="305"/>
      <c r="S14" s="143" t="s">
        <v>596</v>
      </c>
      <c r="T14" s="88">
        <v>-5.5</v>
      </c>
      <c r="U14" s="88">
        <v>14.9</v>
      </c>
      <c r="V14" s="88">
        <v>9.3000000000000007</v>
      </c>
      <c r="W14" s="88">
        <v>-4.8</v>
      </c>
      <c r="X14" s="99">
        <v>-2.9</v>
      </c>
      <c r="Y14" s="88">
        <v>-0.4</v>
      </c>
      <c r="Z14" s="138">
        <v>-5.2</v>
      </c>
      <c r="AA14" s="88">
        <v>-4</v>
      </c>
      <c r="AB14" s="88"/>
      <c r="AC14" s="139"/>
      <c r="AD14" s="42"/>
      <c r="AE14" s="145" t="s">
        <v>585</v>
      </c>
    </row>
    <row r="15" spans="2:48" ht="34" customHeight="1">
      <c r="B15" s="301"/>
      <c r="C15" t="s">
        <v>625</v>
      </c>
      <c r="D15">
        <v>290</v>
      </c>
      <c r="E15" t="s">
        <v>43</v>
      </c>
      <c r="F15" t="s">
        <v>626</v>
      </c>
      <c r="G15" t="s">
        <v>168</v>
      </c>
      <c r="H15" s="6"/>
      <c r="J15" s="101"/>
      <c r="K15" s="5" t="s">
        <v>627</v>
      </c>
      <c r="L15" s="5">
        <v>42</v>
      </c>
      <c r="M15" s="44">
        <v>39</v>
      </c>
      <c r="N15" t="s">
        <v>518</v>
      </c>
      <c r="O15" t="s">
        <v>628</v>
      </c>
      <c r="P15" s="6" t="s">
        <v>556</v>
      </c>
      <c r="R15" s="303" t="s">
        <v>629</v>
      </c>
      <c r="S15" s="142" t="s">
        <v>584</v>
      </c>
      <c r="T15" s="125">
        <v>199</v>
      </c>
      <c r="U15" s="85">
        <v>2399.6</v>
      </c>
      <c r="V15" s="85">
        <v>2051.6</v>
      </c>
      <c r="W15" s="85">
        <v>86.02</v>
      </c>
      <c r="X15" s="126">
        <f>642.3/3.6</f>
        <v>178.41666666666666</v>
      </c>
      <c r="Y15" s="125">
        <v>538</v>
      </c>
      <c r="Z15" s="127">
        <f>135.7/10.197</f>
        <v>13.307835637932726</v>
      </c>
      <c r="AA15" s="128">
        <f>690 /7501</f>
        <v>9.198773496867084E-2</v>
      </c>
      <c r="AB15" s="125">
        <v>10.24</v>
      </c>
      <c r="AC15" s="140">
        <f t="shared" si="0"/>
        <v>0.41918502632092025</v>
      </c>
      <c r="AD15" s="44"/>
      <c r="AE15" s="145" t="s">
        <v>585</v>
      </c>
    </row>
    <row r="16" spans="2:48" ht="17" customHeight="1">
      <c r="B16" s="301"/>
      <c r="C16" t="s">
        <v>338</v>
      </c>
      <c r="D16">
        <v>-550612.56499999994</v>
      </c>
      <c r="E16" t="s">
        <v>587</v>
      </c>
      <c r="F16" t="s">
        <v>588</v>
      </c>
      <c r="G16" t="s">
        <v>168</v>
      </c>
      <c r="H16" s="6"/>
      <c r="J16" s="101"/>
      <c r="K16" s="5" t="s">
        <v>630</v>
      </c>
      <c r="L16" s="5">
        <v>93</v>
      </c>
      <c r="M16" s="44">
        <v>106</v>
      </c>
      <c r="N16" t="s">
        <v>518</v>
      </c>
      <c r="O16" t="s">
        <v>631</v>
      </c>
      <c r="P16" s="6" t="s">
        <v>556</v>
      </c>
      <c r="R16" s="304"/>
      <c r="S16" s="141" t="s">
        <v>591</v>
      </c>
      <c r="T16" s="115">
        <v>166.2</v>
      </c>
      <c r="U16" s="81">
        <v>2989.1</v>
      </c>
      <c r="V16" s="81">
        <v>2367.9</v>
      </c>
      <c r="W16" s="81">
        <v>79.900000000000006</v>
      </c>
      <c r="X16" s="131">
        <f>541.9/3.6</f>
        <v>150.52777777777777</v>
      </c>
      <c r="Y16" s="115">
        <v>532.79999999999995</v>
      </c>
      <c r="Z16" s="117">
        <f>109.3/10.197</f>
        <v>10.718838874178681</v>
      </c>
      <c r="AA16" s="132">
        <f>668.4 /7501</f>
        <v>8.9108118917477663E-2</v>
      </c>
      <c r="AB16" s="115">
        <v>10.24</v>
      </c>
      <c r="AC16" s="130">
        <f t="shared" si="0"/>
        <v>0.3631910131340006</v>
      </c>
      <c r="AD16" s="44"/>
      <c r="AE16" s="145" t="s">
        <v>585</v>
      </c>
    </row>
    <row r="17" spans="2:31" ht="18" thickBot="1">
      <c r="B17" s="302"/>
      <c r="C17" t="s">
        <v>632</v>
      </c>
      <c r="D17">
        <v>-210144.155</v>
      </c>
      <c r="E17" t="s">
        <v>587</v>
      </c>
      <c r="F17" t="s">
        <v>633</v>
      </c>
      <c r="G17" t="s">
        <v>168</v>
      </c>
      <c r="H17" s="6"/>
      <c r="J17" s="101"/>
      <c r="K17" s="5" t="s">
        <v>634</v>
      </c>
      <c r="L17" s="5">
        <v>1</v>
      </c>
      <c r="M17" s="44">
        <v>1</v>
      </c>
      <c r="N17" t="s">
        <v>518</v>
      </c>
      <c r="O17" t="s">
        <v>635</v>
      </c>
      <c r="P17" s="6" t="s">
        <v>556</v>
      </c>
      <c r="R17" s="305"/>
      <c r="S17" s="143" t="s">
        <v>596</v>
      </c>
      <c r="T17" s="134">
        <v>-0.16400000000000001</v>
      </c>
      <c r="U17" s="134">
        <v>0.24399999999999999</v>
      </c>
      <c r="V17" s="134">
        <v>0.154</v>
      </c>
      <c r="W17" s="134">
        <v>-7.0999999999999994E-2</v>
      </c>
      <c r="X17" s="135">
        <v>-0.14499999999999999</v>
      </c>
      <c r="Y17" s="134">
        <v>-0.01</v>
      </c>
      <c r="Z17" s="136">
        <v>-0.19600000000000001</v>
      </c>
      <c r="AA17" s="134">
        <v>-3.1E-2</v>
      </c>
      <c r="AB17" s="88"/>
      <c r="AC17" s="139"/>
      <c r="AD17" s="44"/>
      <c r="AE17" s="145" t="s">
        <v>585</v>
      </c>
    </row>
    <row r="18" spans="2:31" ht="22" thickBot="1">
      <c r="B18" s="284" t="s">
        <v>332</v>
      </c>
      <c r="C18" s="285"/>
      <c r="D18" s="285"/>
      <c r="E18" s="285"/>
      <c r="F18" s="285"/>
      <c r="G18" s="285"/>
      <c r="H18" s="286"/>
      <c r="J18" s="101"/>
      <c r="K18" s="5" t="s">
        <v>636</v>
      </c>
      <c r="L18" s="5">
        <v>37</v>
      </c>
      <c r="M18" s="44">
        <v>35</v>
      </c>
      <c r="N18" t="s">
        <v>518</v>
      </c>
      <c r="O18" t="s">
        <v>637</v>
      </c>
      <c r="P18" s="6" t="s">
        <v>556</v>
      </c>
      <c r="R18" s="303" t="s">
        <v>638</v>
      </c>
      <c r="S18" s="142" t="s">
        <v>584</v>
      </c>
      <c r="T18" s="125">
        <v>140.1</v>
      </c>
      <c r="U18" s="85">
        <v>2381.1999999999998</v>
      </c>
      <c r="V18" s="85">
        <v>2054</v>
      </c>
      <c r="W18" s="85">
        <v>86.01</v>
      </c>
      <c r="X18" s="126">
        <f>408.9/3.6</f>
        <v>113.58333333333333</v>
      </c>
      <c r="Y18" s="125">
        <v>539</v>
      </c>
      <c r="Z18" s="127">
        <f>132.8/10.197</f>
        <v>13.023438266156715</v>
      </c>
      <c r="AA18" s="128">
        <f>683.3 /7501</f>
        <v>9.1094520730569256E-2</v>
      </c>
      <c r="AB18" s="125">
        <v>12.83</v>
      </c>
      <c r="AC18" s="140">
        <f t="shared" si="0"/>
        <v>0.41869522882181109</v>
      </c>
      <c r="AD18" s="33"/>
      <c r="AE18" s="145" t="s">
        <v>585</v>
      </c>
    </row>
    <row r="19" spans="2:31" ht="50" customHeight="1">
      <c r="B19" s="74"/>
      <c r="C19" s="40" t="s">
        <v>639</v>
      </c>
      <c r="D19" s="40">
        <f>D13*(D17-D16) / 1000000</f>
        <v>1429.9673219999997</v>
      </c>
      <c r="E19" s="40" t="s">
        <v>640</v>
      </c>
      <c r="F19" s="40" t="s">
        <v>641</v>
      </c>
      <c r="G19" s="40" t="s">
        <v>168</v>
      </c>
      <c r="H19" s="41"/>
      <c r="J19" s="101"/>
      <c r="K19" s="5" t="s">
        <v>642</v>
      </c>
      <c r="L19" s="5">
        <v>4</v>
      </c>
      <c r="M19" s="44">
        <v>4</v>
      </c>
      <c r="N19" t="s">
        <v>518</v>
      </c>
      <c r="O19" t="s">
        <v>643</v>
      </c>
      <c r="P19" s="6" t="s">
        <v>556</v>
      </c>
      <c r="R19" s="304"/>
      <c r="S19" s="141" t="s">
        <v>591</v>
      </c>
      <c r="T19" s="115">
        <v>104.3</v>
      </c>
      <c r="U19" s="81">
        <v>2824.1</v>
      </c>
      <c r="V19" s="81">
        <v>2279.6</v>
      </c>
      <c r="W19" s="81">
        <v>80.7</v>
      </c>
      <c r="X19" s="131">
        <f>323.8/3.6</f>
        <v>89.944444444444443</v>
      </c>
      <c r="Y19" s="115">
        <v>523.79999999999995</v>
      </c>
      <c r="Z19" s="117">
        <f>118/10.197</f>
        <v>11.572030989506718</v>
      </c>
      <c r="AA19" s="132">
        <f>664.3 /7501</f>
        <v>8.8561525129982666E-2</v>
      </c>
      <c r="AB19" s="115">
        <v>12.83</v>
      </c>
      <c r="AC19" s="130">
        <f t="shared" si="0"/>
        <v>0.377259168275136</v>
      </c>
      <c r="AD19" s="44"/>
      <c r="AE19" s="145" t="s">
        <v>585</v>
      </c>
    </row>
    <row r="20" spans="2:31" ht="35" thickBot="1">
      <c r="B20" s="75"/>
      <c r="C20" t="s">
        <v>644</v>
      </c>
      <c r="D20">
        <f>SUM(D9:D12) / (-1000000)</f>
        <v>512.08027043000004</v>
      </c>
      <c r="E20" t="s">
        <v>645</v>
      </c>
      <c r="F20" t="s">
        <v>646</v>
      </c>
      <c r="G20" t="s">
        <v>168</v>
      </c>
      <c r="H20" s="6"/>
      <c r="J20" s="101"/>
      <c r="K20" s="5" t="s">
        <v>647</v>
      </c>
      <c r="L20" s="5">
        <v>28</v>
      </c>
      <c r="M20" s="44">
        <v>27</v>
      </c>
      <c r="N20" t="s">
        <v>518</v>
      </c>
      <c r="O20" t="s">
        <v>648</v>
      </c>
      <c r="P20" s="6" t="s">
        <v>556</v>
      </c>
      <c r="R20" s="305"/>
      <c r="S20" s="143" t="s">
        <v>596</v>
      </c>
      <c r="T20" s="134">
        <v>-0.255</v>
      </c>
      <c r="U20" s="134">
        <v>0.186</v>
      </c>
      <c r="V20" s="134">
        <v>0.11</v>
      </c>
      <c r="W20" s="134">
        <v>-6.0999999999999999E-2</v>
      </c>
      <c r="X20" s="135">
        <v>-0.20699999999999999</v>
      </c>
      <c r="Y20" s="134">
        <v>-2.8000000000000001E-2</v>
      </c>
      <c r="Z20" s="136">
        <v>-0.111</v>
      </c>
      <c r="AA20" s="134">
        <v>-2.8000000000000001E-2</v>
      </c>
      <c r="AB20" s="88"/>
      <c r="AC20" s="139"/>
      <c r="AD20" s="42"/>
      <c r="AE20" s="145" t="s">
        <v>585</v>
      </c>
    </row>
    <row r="21" spans="2:31" ht="50" customHeight="1">
      <c r="B21" s="297" t="s">
        <v>649</v>
      </c>
      <c r="C21" s="52" t="s">
        <v>173</v>
      </c>
      <c r="D21" s="59">
        <f>D20/D19</f>
        <v>0.358106274564224</v>
      </c>
      <c r="E21" s="52" t="s">
        <v>650</v>
      </c>
      <c r="F21" s="52" t="s">
        <v>651</v>
      </c>
      <c r="G21" s="52"/>
      <c r="H21" s="53"/>
      <c r="J21" s="101"/>
      <c r="K21" s="5" t="s">
        <v>652</v>
      </c>
      <c r="L21" s="5">
        <v>22</v>
      </c>
      <c r="M21" s="44">
        <v>21</v>
      </c>
      <c r="N21" t="s">
        <v>518</v>
      </c>
      <c r="O21" t="s">
        <v>653</v>
      </c>
      <c r="P21" s="6" t="s">
        <v>556</v>
      </c>
      <c r="R21" s="303" t="s">
        <v>654</v>
      </c>
      <c r="S21" s="142" t="s">
        <v>584</v>
      </c>
      <c r="T21" s="125">
        <v>120.6</v>
      </c>
      <c r="U21" s="85">
        <v>2395.4</v>
      </c>
      <c r="V21" s="85">
        <v>2063.4</v>
      </c>
      <c r="W21" s="85">
        <v>86.15</v>
      </c>
      <c r="X21" s="126">
        <f>374.8/3.6</f>
        <v>104.11111111111111</v>
      </c>
      <c r="Y21" s="125">
        <v>537.4</v>
      </c>
      <c r="Z21" s="127">
        <f>129.9/10.197</f>
        <v>12.739040894380702</v>
      </c>
      <c r="AA21" s="128">
        <f>691.8 /7501</f>
        <v>9.2227702972936934E-2</v>
      </c>
      <c r="AB21" s="125">
        <v>12.21</v>
      </c>
      <c r="AC21" s="140">
        <f t="shared" si="0"/>
        <v>0.41678782591838709</v>
      </c>
      <c r="AD21" s="44"/>
      <c r="AE21" s="145" t="s">
        <v>585</v>
      </c>
    </row>
    <row r="22" spans="2:31" ht="58" customHeight="1">
      <c r="B22" s="298"/>
      <c r="C22" s="61" t="s">
        <v>185</v>
      </c>
      <c r="D22" s="76">
        <f>(D7-D8)/-1000</f>
        <v>3405.9965000000002</v>
      </c>
      <c r="E22" s="61" t="s">
        <v>186</v>
      </c>
      <c r="F22" s="61" t="s">
        <v>655</v>
      </c>
      <c r="G22" s="61"/>
      <c r="H22" s="73"/>
      <c r="J22" s="101"/>
      <c r="K22" s="5" t="s">
        <v>656</v>
      </c>
      <c r="L22" s="5">
        <v>5</v>
      </c>
      <c r="M22" s="44">
        <v>5</v>
      </c>
      <c r="N22" t="s">
        <v>518</v>
      </c>
      <c r="O22" t="s">
        <v>657</v>
      </c>
      <c r="P22" s="6" t="s">
        <v>556</v>
      </c>
      <c r="R22" s="304"/>
      <c r="S22" s="141" t="s">
        <v>591</v>
      </c>
      <c r="T22" s="115">
        <v>93.2</v>
      </c>
      <c r="U22" s="81">
        <v>2921.9</v>
      </c>
      <c r="V22" s="81">
        <v>2333.9</v>
      </c>
      <c r="W22" s="81">
        <v>80.09</v>
      </c>
      <c r="X22" s="131">
        <f>300.7/3.6</f>
        <v>83.527777777777771</v>
      </c>
      <c r="Y22" s="115">
        <v>526.29999999999995</v>
      </c>
      <c r="Z22" s="117">
        <f>108.6/10.197</f>
        <v>10.650191232715505</v>
      </c>
      <c r="AA22" s="132">
        <f>669.7 /7501</f>
        <v>8.9281429142780963E-2</v>
      </c>
      <c r="AB22" s="115">
        <v>12.21</v>
      </c>
      <c r="AC22" s="130">
        <f t="shared" si="0"/>
        <v>0.36848194010026136</v>
      </c>
      <c r="AD22" s="44"/>
      <c r="AE22" s="145" t="s">
        <v>585</v>
      </c>
    </row>
    <row r="23" spans="2:31" ht="35" thickBot="1">
      <c r="B23" s="298"/>
      <c r="C23" s="61" t="s">
        <v>165</v>
      </c>
      <c r="D23" s="61">
        <f>D14-D5</f>
        <v>25</v>
      </c>
      <c r="E23" s="61" t="s">
        <v>166</v>
      </c>
      <c r="F23" s="61" t="s">
        <v>658</v>
      </c>
      <c r="G23" s="61"/>
      <c r="H23" s="73"/>
      <c r="J23" s="101"/>
      <c r="K23" s="5" t="s">
        <v>659</v>
      </c>
      <c r="L23" s="5">
        <v>3</v>
      </c>
      <c r="M23" s="44">
        <v>3</v>
      </c>
      <c r="N23" t="s">
        <v>518</v>
      </c>
      <c r="O23" t="s">
        <v>660</v>
      </c>
      <c r="P23" s="6" t="s">
        <v>556</v>
      </c>
      <c r="R23" s="305"/>
      <c r="S23" s="143" t="s">
        <v>596</v>
      </c>
      <c r="T23" s="134">
        <v>-0.22800000000000001</v>
      </c>
      <c r="U23" s="134">
        <v>0.185</v>
      </c>
      <c r="V23" s="134">
        <v>0.115</v>
      </c>
      <c r="W23" s="134">
        <v>-5.3999999999999999E-2</v>
      </c>
      <c r="X23" s="135">
        <v>-0.20200000000000001</v>
      </c>
      <c r="Y23" s="134">
        <v>-0.02</v>
      </c>
      <c r="Z23" s="136">
        <v>-0.186</v>
      </c>
      <c r="AA23" s="134">
        <v>-2.1000000000000001E-2</v>
      </c>
      <c r="AB23" s="88"/>
      <c r="AC23" s="139">
        <f t="shared" si="0"/>
        <v>7478.260869565217</v>
      </c>
      <c r="AD23" s="44"/>
      <c r="AE23" s="145" t="s">
        <v>585</v>
      </c>
    </row>
    <row r="24" spans="2:31" ht="35" thickBot="1">
      <c r="B24" s="299"/>
      <c r="C24" s="55" t="s">
        <v>169</v>
      </c>
      <c r="D24" s="55">
        <f>D15-D6</f>
        <v>240</v>
      </c>
      <c r="E24" s="55" t="s">
        <v>166</v>
      </c>
      <c r="F24" s="55" t="s">
        <v>661</v>
      </c>
      <c r="G24" s="55"/>
      <c r="H24" s="56"/>
      <c r="J24" s="101"/>
      <c r="K24" s="5" t="s">
        <v>662</v>
      </c>
      <c r="L24" s="5">
        <v>3</v>
      </c>
      <c r="M24" s="44">
        <v>3</v>
      </c>
      <c r="N24" t="s">
        <v>518</v>
      </c>
      <c r="O24" t="s">
        <v>663</v>
      </c>
      <c r="P24" s="6" t="s">
        <v>556</v>
      </c>
      <c r="R24" s="303" t="s">
        <v>664</v>
      </c>
      <c r="S24" s="142" t="s">
        <v>584</v>
      </c>
      <c r="T24" s="125">
        <v>108.1</v>
      </c>
      <c r="U24" s="85">
        <v>2434.9</v>
      </c>
      <c r="V24" s="85">
        <v>2138.6999999999998</v>
      </c>
      <c r="W24" s="85">
        <v>86.94</v>
      </c>
      <c r="X24" s="126">
        <f>344.8/3.6</f>
        <v>95.777777777777786</v>
      </c>
      <c r="Y24" s="125">
        <v>537.5</v>
      </c>
      <c r="Z24" s="127">
        <f>126.7/10.197</f>
        <v>12.425223104834757</v>
      </c>
      <c r="AA24" s="128">
        <f>685.2 /7501</f>
        <v>9.1347820290627921E-2</v>
      </c>
      <c r="AB24" s="125">
        <v>13.1</v>
      </c>
      <c r="AC24" s="130">
        <f t="shared" si="0"/>
        <v>0.40211343339411798</v>
      </c>
      <c r="AD24" s="44"/>
      <c r="AE24" s="145" t="s">
        <v>585</v>
      </c>
    </row>
    <row r="25" spans="2:31" ht="17">
      <c r="J25" s="101"/>
      <c r="K25" s="5" t="s">
        <v>665</v>
      </c>
      <c r="L25" s="5">
        <v>9</v>
      </c>
      <c r="M25" s="44">
        <v>9</v>
      </c>
      <c r="N25" t="s">
        <v>518</v>
      </c>
      <c r="O25" t="s">
        <v>666</v>
      </c>
      <c r="P25" s="6" t="s">
        <v>556</v>
      </c>
      <c r="R25" s="304"/>
      <c r="S25" s="141" t="s">
        <v>591</v>
      </c>
      <c r="T25" s="115">
        <v>90.2</v>
      </c>
      <c r="U25" s="81">
        <v>3016.8</v>
      </c>
      <c r="V25" s="81">
        <v>2418.3000000000002</v>
      </c>
      <c r="W25" s="81">
        <v>80.260000000000005</v>
      </c>
      <c r="X25" s="131">
        <f>293.3/3.6</f>
        <v>81.472222222222229</v>
      </c>
      <c r="Y25" s="115">
        <v>532.1</v>
      </c>
      <c r="Z25" s="117">
        <f>113.5/10.197</f>
        <v>11.130724722957734</v>
      </c>
      <c r="AA25" s="132">
        <f>642.9 /7501</f>
        <v>8.5708572190374616E-2</v>
      </c>
      <c r="AB25" s="115">
        <v>13.1</v>
      </c>
      <c r="AC25" s="130">
        <f>860/V25</f>
        <v>0.35562171773559936</v>
      </c>
      <c r="AD25" s="44"/>
      <c r="AE25" s="145" t="s">
        <v>585</v>
      </c>
    </row>
    <row r="26" spans="2:31" ht="18" thickBot="1">
      <c r="J26" s="101"/>
      <c r="K26" s="5" t="s">
        <v>667</v>
      </c>
      <c r="L26" s="5">
        <v>10</v>
      </c>
      <c r="M26" s="44">
        <v>10</v>
      </c>
      <c r="N26" t="s">
        <v>518</v>
      </c>
      <c r="O26" t="s">
        <v>668</v>
      </c>
      <c r="P26" s="6" t="s">
        <v>556</v>
      </c>
      <c r="R26" s="305"/>
      <c r="S26" s="143" t="s">
        <v>596</v>
      </c>
      <c r="T26" s="134">
        <v>0.17</v>
      </c>
      <c r="U26" s="134">
        <v>-0.19</v>
      </c>
      <c r="V26" s="134">
        <v>-0.10299999999999999</v>
      </c>
      <c r="W26" s="134">
        <v>5.8000000000000003E-2</v>
      </c>
      <c r="X26" s="135">
        <v>0.14199999999999999</v>
      </c>
      <c r="Y26" s="134">
        <v>1E-3</v>
      </c>
      <c r="Z26" s="136">
        <v>8.5999999999999993E-2</v>
      </c>
      <c r="AA26" s="134">
        <v>4.4999999999999998E-2</v>
      </c>
      <c r="AB26" s="88"/>
      <c r="AC26" s="139"/>
      <c r="AD26" s="42"/>
      <c r="AE26" s="146" t="s">
        <v>585</v>
      </c>
    </row>
    <row r="27" spans="2:31" ht="17">
      <c r="J27" s="101"/>
      <c r="K27" s="5" t="s">
        <v>669</v>
      </c>
      <c r="L27" s="5">
        <v>18</v>
      </c>
      <c r="M27" s="44">
        <v>17</v>
      </c>
      <c r="N27" t="s">
        <v>518</v>
      </c>
      <c r="O27" t="s">
        <v>670</v>
      </c>
      <c r="P27" s="6" t="s">
        <v>556</v>
      </c>
    </row>
    <row r="28" spans="2:31" ht="17">
      <c r="J28" s="101"/>
      <c r="K28" s="5" t="s">
        <v>671</v>
      </c>
      <c r="L28" s="5">
        <v>8</v>
      </c>
      <c r="M28" s="44">
        <v>7</v>
      </c>
      <c r="N28" t="s">
        <v>518</v>
      </c>
      <c r="O28" t="s">
        <v>672</v>
      </c>
      <c r="P28" s="6" t="s">
        <v>556</v>
      </c>
    </row>
    <row r="29" spans="2:31" ht="17">
      <c r="J29" s="101"/>
      <c r="K29" s="5" t="s">
        <v>673</v>
      </c>
      <c r="L29" s="5">
        <v>14</v>
      </c>
      <c r="M29" s="44">
        <v>14</v>
      </c>
      <c r="N29" t="s">
        <v>518</v>
      </c>
      <c r="O29" t="s">
        <v>674</v>
      </c>
      <c r="P29" s="6" t="s">
        <v>556</v>
      </c>
    </row>
    <row r="30" spans="2:31" ht="17">
      <c r="J30" s="101"/>
      <c r="K30" s="5" t="s">
        <v>675</v>
      </c>
      <c r="L30" s="5">
        <v>1</v>
      </c>
      <c r="M30" s="44">
        <v>1</v>
      </c>
      <c r="N30" t="s">
        <v>518</v>
      </c>
      <c r="O30" t="s">
        <v>676</v>
      </c>
      <c r="P30" s="6" t="s">
        <v>556</v>
      </c>
    </row>
    <row r="31" spans="2:31" ht="17" customHeight="1">
      <c r="J31" s="101"/>
      <c r="K31" s="5" t="s">
        <v>677</v>
      </c>
      <c r="L31" s="5">
        <v>3</v>
      </c>
      <c r="M31" s="44">
        <v>3</v>
      </c>
      <c r="N31" t="s">
        <v>518</v>
      </c>
      <c r="O31" t="s">
        <v>678</v>
      </c>
      <c r="P31" s="6" t="s">
        <v>556</v>
      </c>
    </row>
    <row r="32" spans="2:31" ht="17">
      <c r="J32" s="101"/>
      <c r="K32" s="5" t="s">
        <v>679</v>
      </c>
      <c r="L32" s="5">
        <v>14</v>
      </c>
      <c r="M32" s="44">
        <v>14</v>
      </c>
      <c r="N32" t="s">
        <v>518</v>
      </c>
      <c r="O32" t="s">
        <v>680</v>
      </c>
      <c r="P32" s="6" t="s">
        <v>556</v>
      </c>
    </row>
    <row r="33" spans="10:16" ht="17">
      <c r="J33" s="101"/>
      <c r="K33" s="5" t="s">
        <v>681</v>
      </c>
      <c r="L33" s="5">
        <v>2</v>
      </c>
      <c r="M33" s="44">
        <v>2</v>
      </c>
      <c r="N33" t="s">
        <v>518</v>
      </c>
      <c r="O33" t="s">
        <v>682</v>
      </c>
      <c r="P33" s="6" t="s">
        <v>556</v>
      </c>
    </row>
    <row r="34" spans="10:16" ht="18" thickBot="1">
      <c r="J34" s="101"/>
      <c r="K34" s="2" t="s">
        <v>683</v>
      </c>
      <c r="L34" s="2">
        <v>1</v>
      </c>
      <c r="M34" s="42">
        <v>1</v>
      </c>
      <c r="N34" s="3" t="s">
        <v>518</v>
      </c>
      <c r="O34" s="3" t="s">
        <v>684</v>
      </c>
      <c r="P34" s="4" t="s">
        <v>556</v>
      </c>
    </row>
    <row r="35" spans="10:16" ht="17">
      <c r="J35" s="101"/>
      <c r="K35" s="5" t="s">
        <v>685</v>
      </c>
      <c r="L35" s="5">
        <v>1</v>
      </c>
      <c r="M35" s="44">
        <v>1</v>
      </c>
      <c r="N35" t="s">
        <v>518</v>
      </c>
      <c r="O35" t="s">
        <v>686</v>
      </c>
      <c r="P35" s="6" t="s">
        <v>556</v>
      </c>
    </row>
    <row r="36" spans="10:16">
      <c r="J36" s="101"/>
      <c r="K36" s="5"/>
      <c r="L36" s="5"/>
      <c r="M36" s="44"/>
      <c r="P36" s="6"/>
    </row>
    <row r="37" spans="10:16">
      <c r="J37" s="101"/>
      <c r="K37" s="5"/>
      <c r="L37" s="5"/>
      <c r="M37" s="44"/>
      <c r="P37" s="6"/>
    </row>
    <row r="38" spans="10:16" ht="51">
      <c r="J38" s="101"/>
      <c r="K38" s="5" t="s">
        <v>687</v>
      </c>
      <c r="L38" s="5">
        <v>68.100999999999999</v>
      </c>
      <c r="M38" s="44">
        <v>70.569999999999993</v>
      </c>
      <c r="N38" t="s">
        <v>688</v>
      </c>
      <c r="O38" t="s">
        <v>689</v>
      </c>
      <c r="P38" s="6" t="s">
        <v>556</v>
      </c>
    </row>
    <row r="39" spans="10:16" ht="17">
      <c r="J39" s="101"/>
      <c r="K39" s="5" t="s">
        <v>690</v>
      </c>
      <c r="L39" s="5">
        <v>0.56869000000000003</v>
      </c>
      <c r="M39" s="44">
        <v>0.53091999999999995</v>
      </c>
      <c r="N39" t="s">
        <v>691</v>
      </c>
      <c r="O39" t="s">
        <v>692</v>
      </c>
      <c r="P39" s="6" t="s">
        <v>556</v>
      </c>
    </row>
    <row r="40" spans="10:16" ht="17">
      <c r="J40" s="101"/>
      <c r="K40" s="5" t="s">
        <v>693</v>
      </c>
      <c r="L40" s="5">
        <v>0.48037999999999997</v>
      </c>
      <c r="M40" s="44">
        <v>0.45780999999999999</v>
      </c>
      <c r="N40" t="s">
        <v>691</v>
      </c>
      <c r="O40" t="s">
        <v>694</v>
      </c>
      <c r="P40" s="6" t="s">
        <v>556</v>
      </c>
    </row>
    <row r="41" spans="10:16" ht="103" thickBot="1">
      <c r="K41" s="2" t="s">
        <v>695</v>
      </c>
      <c r="L41" s="2" t="s">
        <v>696</v>
      </c>
      <c r="M41" s="42" t="s">
        <v>696</v>
      </c>
      <c r="N41" s="3" t="s">
        <v>697</v>
      </c>
      <c r="O41" s="3" t="s">
        <v>698</v>
      </c>
      <c r="P41" s="4" t="s">
        <v>699</v>
      </c>
    </row>
    <row r="42" spans="10:16" ht="22" thickBot="1">
      <c r="K42" s="412" t="s">
        <v>332</v>
      </c>
      <c r="L42" s="413"/>
      <c r="M42" s="413"/>
      <c r="N42" s="413"/>
      <c r="O42" s="413"/>
      <c r="P42" s="414"/>
    </row>
    <row r="43" spans="10:16" ht="51">
      <c r="K43" s="51" t="s">
        <v>700</v>
      </c>
      <c r="L43" s="173">
        <f>(SUM(L3+L4)/(L5*1000))*100</f>
        <v>0.38573508005822421</v>
      </c>
      <c r="M43" s="411">
        <f>(SUM(M3+M4)/(M5*1000))*100</f>
        <v>0.38686131386861317</v>
      </c>
      <c r="N43" s="52" t="s">
        <v>701</v>
      </c>
      <c r="O43" s="52" t="s">
        <v>702</v>
      </c>
      <c r="P43" s="53"/>
    </row>
    <row r="44" spans="10:16" ht="34">
      <c r="K44" s="327" t="s">
        <v>529</v>
      </c>
      <c r="L44" s="409">
        <f>L38*1000</f>
        <v>68101</v>
      </c>
      <c r="M44" s="405">
        <f>M38*1000</f>
        <v>70570</v>
      </c>
      <c r="N44" s="410" t="s">
        <v>438</v>
      </c>
      <c r="O44" s="410" t="s">
        <v>703</v>
      </c>
      <c r="P44" s="405"/>
    </row>
    <row r="45" spans="10:16" ht="34">
      <c r="K45" s="327" t="s">
        <v>534</v>
      </c>
      <c r="L45" s="409">
        <f>L39+L40</f>
        <v>1.0490699999999999</v>
      </c>
      <c r="M45" s="405">
        <f>M39+M40</f>
        <v>0.98872999999999989</v>
      </c>
      <c r="N45" s="410" t="s">
        <v>691</v>
      </c>
      <c r="O45" s="410" t="s">
        <v>704</v>
      </c>
      <c r="P45" s="405"/>
    </row>
    <row r="46" spans="10:16" ht="51">
      <c r="K46" s="327" t="s">
        <v>705</v>
      </c>
      <c r="L46" s="409">
        <f>SUM(L7:L34)*1000</f>
        <v>589000</v>
      </c>
      <c r="M46" s="405">
        <f>SUM(M7:M34)*1000</f>
        <v>607000</v>
      </c>
      <c r="N46" s="410" t="s">
        <v>438</v>
      </c>
      <c r="O46" s="410" t="s">
        <v>706</v>
      </c>
      <c r="P46" s="405"/>
    </row>
    <row r="47" spans="10:16" ht="18" thickBot="1">
      <c r="K47" s="392"/>
      <c r="L47" s="396">
        <f>L44/L46</f>
        <v>0.1156213921901528</v>
      </c>
      <c r="M47" s="395"/>
      <c r="N47" s="393"/>
      <c r="O47" s="393" t="s">
        <v>1150</v>
      </c>
      <c r="P47" s="395"/>
    </row>
  </sheetData>
  <mergeCells count="15">
    <mergeCell ref="R15:R17"/>
    <mergeCell ref="R18:R20"/>
    <mergeCell ref="R21:R23"/>
    <mergeCell ref="R24:R26"/>
    <mergeCell ref="X4:Z4"/>
    <mergeCell ref="R6:R8"/>
    <mergeCell ref="R9:R11"/>
    <mergeCell ref="R12:R14"/>
    <mergeCell ref="K42:P42"/>
    <mergeCell ref="B21:B24"/>
    <mergeCell ref="B3:H3"/>
    <mergeCell ref="B4:B8"/>
    <mergeCell ref="B9:B12"/>
    <mergeCell ref="B13:B17"/>
    <mergeCell ref="B18:H18"/>
  </mergeCells>
  <phoneticPr fontId="14" type="noConversion"/>
  <pageMargins left="0.7" right="0.7" top="0.75" bottom="0.75" header="0.3" footer="0.3"/>
  <ignoredErrors>
    <ignoredError sqref="D20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C967-A06C-054F-B8BE-78E417B66641}">
  <dimension ref="B1:H12"/>
  <sheetViews>
    <sheetView topLeftCell="A3" workbookViewId="0">
      <selection activeCell="F6" sqref="F6"/>
    </sheetView>
  </sheetViews>
  <sheetFormatPr baseColWidth="10" defaultColWidth="11" defaultRowHeight="16"/>
  <cols>
    <col min="2" max="2" width="19.83203125" customWidth="1"/>
    <col min="3" max="3" width="11.6640625" bestFit="1" customWidth="1"/>
    <col min="7" max="7" width="14.6640625" bestFit="1" customWidth="1"/>
    <col min="8" max="8" width="27.6640625" customWidth="1"/>
  </cols>
  <sheetData>
    <row r="1" spans="2:8" ht="45" thickBot="1">
      <c r="B1" s="422" t="s">
        <v>1151</v>
      </c>
      <c r="C1" s="423" t="s">
        <v>2</v>
      </c>
      <c r="D1" s="422" t="s">
        <v>5</v>
      </c>
    </row>
    <row r="2" spans="2:8" ht="34">
      <c r="B2" s="33" t="s">
        <v>707</v>
      </c>
      <c r="C2" s="419">
        <v>32809</v>
      </c>
      <c r="D2" s="33" t="s">
        <v>73</v>
      </c>
      <c r="G2" s="39">
        <v>31</v>
      </c>
      <c r="H2" s="41" t="s">
        <v>1066</v>
      </c>
    </row>
    <row r="3" spans="2:8" ht="51">
      <c r="B3" s="44" t="s">
        <v>708</v>
      </c>
      <c r="C3" s="346">
        <v>50</v>
      </c>
      <c r="D3" s="44" t="s">
        <v>73</v>
      </c>
      <c r="G3" s="5">
        <v>500</v>
      </c>
      <c r="H3" s="6" t="s">
        <v>59</v>
      </c>
    </row>
    <row r="4" spans="2:8" ht="34">
      <c r="B4" s="44" t="s">
        <v>709</v>
      </c>
      <c r="C4" s="346">
        <v>5874</v>
      </c>
      <c r="D4" s="44" t="s">
        <v>73</v>
      </c>
      <c r="G4" s="5">
        <v>0.8</v>
      </c>
      <c r="H4" s="6" t="s">
        <v>1065</v>
      </c>
    </row>
    <row r="5" spans="2:8" ht="51">
      <c r="B5" s="44" t="s">
        <v>710</v>
      </c>
      <c r="C5" s="346">
        <v>28033</v>
      </c>
      <c r="D5" s="44" t="s">
        <v>73</v>
      </c>
      <c r="G5" s="5">
        <f>((G3*G2)/(G4*8760*G3) ) * 1000</f>
        <v>4.4235159817351599</v>
      </c>
      <c r="H5" s="6" t="s">
        <v>1067</v>
      </c>
    </row>
    <row r="6" spans="2:8" ht="52" thickBot="1">
      <c r="B6" s="44" t="s">
        <v>711</v>
      </c>
      <c r="C6" s="346">
        <v>13836</v>
      </c>
      <c r="D6" s="44" t="s">
        <v>73</v>
      </c>
      <c r="G6" s="417">
        <f>G2*G3*1000</f>
        <v>15500000</v>
      </c>
      <c r="H6" s="4" t="s">
        <v>1068</v>
      </c>
    </row>
    <row r="7" spans="2:8" ht="51">
      <c r="B7" s="44" t="s">
        <v>712</v>
      </c>
      <c r="C7" s="420">
        <v>12224</v>
      </c>
      <c r="D7" s="44" t="s">
        <v>73</v>
      </c>
    </row>
    <row r="8" spans="2:8" ht="51">
      <c r="B8" s="44" t="s">
        <v>713</v>
      </c>
      <c r="C8" s="346">
        <v>4571</v>
      </c>
      <c r="D8" s="44" t="s">
        <v>73</v>
      </c>
    </row>
    <row r="9" spans="2:8" ht="34">
      <c r="B9" s="44" t="s">
        <v>714</v>
      </c>
      <c r="C9" s="346">
        <v>14032</v>
      </c>
      <c r="D9" s="44" t="s">
        <v>73</v>
      </c>
    </row>
    <row r="10" spans="2:8" ht="52" thickBot="1">
      <c r="B10" s="42" t="s">
        <v>715</v>
      </c>
      <c r="C10" s="3">
        <v>29698</v>
      </c>
      <c r="D10" s="44" t="s">
        <v>73</v>
      </c>
    </row>
    <row r="11" spans="2:8" ht="18" thickBot="1">
      <c r="B11" s="5" t="s">
        <v>716</v>
      </c>
      <c r="C11" s="420">
        <v>327243</v>
      </c>
      <c r="D11" s="45" t="s">
        <v>73</v>
      </c>
    </row>
    <row r="12" spans="2:8" ht="69" thickBot="1">
      <c r="B12" s="418" t="s">
        <v>717</v>
      </c>
      <c r="C12" s="421">
        <f>SUM(C2:C10)/C11</f>
        <v>0.43126056172324539</v>
      </c>
      <c r="D12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Parameters</vt:lpstr>
      <vt:lpstr>Coal Costs</vt:lpstr>
      <vt:lpstr>Calculation tank cost</vt:lpstr>
      <vt:lpstr>Calculation heat exchanger</vt:lpstr>
      <vt:lpstr>CEM</vt:lpstr>
      <vt:lpstr>Calculation salt pumps</vt:lpstr>
      <vt:lpstr>Calculation Upgrade Costs</vt:lpstr>
      <vt:lpstr>Calculations Aspen</vt:lpstr>
      <vt:lpstr>TES_FOM</vt:lpstr>
      <vt:lpstr>BESS</vt:lpstr>
      <vt:lpstr>DecommissioningCosts</vt:lpstr>
      <vt:lpstr>AspenInputs_Operating</vt:lpstr>
      <vt:lpstr>AspenInputs</vt:lpstr>
      <vt:lpstr>AspenInputs_2</vt:lpstr>
      <vt:lpstr>AspenInputs_500MW</vt:lpstr>
      <vt:lpstr>Qualitative Assumptions </vt:lpstr>
      <vt:lpstr>GenX_sources</vt:lpstr>
      <vt:lpstr>GenX</vt:lpstr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Serena Patel</cp:lastModifiedBy>
  <cp:revision/>
  <dcterms:created xsi:type="dcterms:W3CDTF">2023-03-09T16:44:08Z</dcterms:created>
  <dcterms:modified xsi:type="dcterms:W3CDTF">2024-01-15T10:45:32Z</dcterms:modified>
  <cp:category/>
  <cp:contentStatus/>
</cp:coreProperties>
</file>